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3200" yWindow="795" windowWidth="13710" windowHeight="10380" tabRatio="833" firstSheet="25" activeTab="32"/>
  </bookViews>
  <sheets>
    <sheet name="งบทดลอง " sheetId="88" r:id="rId1"/>
    <sheet name="รายรับจริงประกอบงบทดลอง" sheetId="87" r:id="rId2"/>
    <sheet name="งบแสดงฐานะ" sheetId="1" r:id="rId3"/>
    <sheet name="ข้อมูลทั่วไป" sheetId="2" r:id="rId4"/>
    <sheet name="เหตุ2" sheetId="75" r:id="rId5"/>
    <sheet name="Sheet1" sheetId="74" r:id="rId6"/>
    <sheet name="เหตุ3,4,5" sheetId="85" r:id="rId7"/>
    <sheet name="เหตุ6" sheetId="10" r:id="rId8"/>
    <sheet name="เหตุ7" sheetId="12" r:id="rId9"/>
    <sheet name="เหตุ8" sheetId="13" r:id="rId10"/>
    <sheet name="เหตุ9" sheetId="79" r:id="rId11"/>
    <sheet name="เหตุ10" sheetId="19" r:id="rId12"/>
    <sheet name="เหตุ11" sheetId="50" r:id="rId13"/>
    <sheet name="เหตุ 12" sheetId="51" r:id="rId14"/>
    <sheet name="บริหารงานทั่วไป" sheetId="27" r:id="rId15"/>
    <sheet name="รักษาความสงบฯ" sheetId="53" r:id="rId16"/>
    <sheet name="การศึกษา" sheetId="54" r:id="rId17"/>
    <sheet name="สาธารณสุข" sheetId="55" r:id="rId18"/>
    <sheet name="สังคมสงเคราะห์" sheetId="56" r:id="rId19"/>
    <sheet name="เคหะและชุมชน" sheetId="57" r:id="rId20"/>
    <sheet name="สร้างความเข้มแข็งของชุมชน" sheetId="58" r:id="rId21"/>
    <sheet name="การศาสนาฯ" sheetId="59" r:id="rId22"/>
    <sheet name="การเกษตร" sheetId="35" r:id="rId23"/>
    <sheet name="งบกลาง" sheetId="26" r:id="rId24"/>
    <sheet name="จ่ายจากแผนงานรวม" sheetId="60" r:id="rId25"/>
    <sheet name="รายจ่ายจากสะสม" sheetId="39" r:id="rId26"/>
    <sheet name="รายจ่ายจากทุนสำรอง" sheetId="46" r:id="rId27"/>
    <sheet name="รายจ่ายจากเงินกู้" sheetId="47" r:id="rId28"/>
    <sheet name="งบแสดงผลจ่ายจากรายรับ" sheetId="70" r:id="rId29"/>
    <sheet name="จ่ายจากเงินรายรับและเงินสะสม" sheetId="71" r:id="rId30"/>
    <sheet name="แสดงรับจ่ายจากสะสมทุนสะสม" sheetId="72" r:id="rId31"/>
    <sheet name="แสดงรับจ่ายจากสะสมและกู้" sheetId="73" r:id="rId32"/>
    <sheet name="1.ครุภัณฑ์" sheetId="44" r:id="rId33"/>
    <sheet name="2.ที่ดินและสิ่งก่อสร้าง" sheetId="86" r:id="rId34"/>
    <sheet name="Sheet3 (โอน)" sheetId="82" r:id="rId35"/>
    <sheet name="Sheet2" sheetId="68" r:id="rId36"/>
  </sheets>
  <externalReferences>
    <externalReference r:id="rId37"/>
    <externalReference r:id="rId38"/>
    <externalReference r:id="rId39"/>
  </externalReferences>
  <definedNames>
    <definedName name="_xlnm.Print_Titles" localSheetId="0">'งบทดลอง '!$4:$5</definedName>
    <definedName name="_xlnm.Print_Titles" localSheetId="1">รายรับจริงประกอบงบทดลอง!$4:$4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73"/>
  <c r="F15" i="35" l="1"/>
  <c r="E13" i="68" l="1"/>
  <c r="E15"/>
  <c r="E16"/>
  <c r="E17"/>
  <c r="E18"/>
  <c r="E19"/>
  <c r="E20"/>
  <c r="E21"/>
  <c r="E22"/>
  <c r="E23"/>
  <c r="E24"/>
  <c r="E11"/>
  <c r="E12"/>
  <c r="D193" i="82"/>
  <c r="F14" i="56"/>
  <c r="F18" s="1"/>
  <c r="F385" i="82"/>
  <c r="D224"/>
  <c r="D9"/>
  <c r="D15" i="54"/>
  <c r="E15"/>
  <c r="G124" i="51"/>
  <c r="F123"/>
  <c r="F125" s="1"/>
  <c r="E123"/>
  <c r="E125" s="1"/>
  <c r="D123"/>
  <c r="D125" s="1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D12" i="10"/>
  <c r="C12"/>
  <c r="H62" i="88"/>
  <c r="G62"/>
  <c r="E62"/>
  <c r="F62"/>
  <c r="D62"/>
  <c r="C62"/>
  <c r="F57" i="87"/>
  <c r="E57"/>
  <c r="F53"/>
  <c r="E53"/>
  <c r="F48"/>
  <c r="E48"/>
  <c r="F33"/>
  <c r="E33"/>
  <c r="F30"/>
  <c r="E30"/>
  <c r="F26"/>
  <c r="E26"/>
  <c r="F23"/>
  <c r="E23"/>
  <c r="F10"/>
  <c r="E10"/>
  <c r="D63" i="88" l="1"/>
  <c r="G123" i="51"/>
  <c r="G125" s="1"/>
  <c r="E58" i="87"/>
  <c r="F58"/>
  <c r="J18" i="72" l="1"/>
  <c r="I18" i="71"/>
  <c r="H18" i="73"/>
  <c r="S28"/>
  <c r="R28"/>
  <c r="Q28"/>
  <c r="P28"/>
  <c r="O28"/>
  <c r="N28"/>
  <c r="M28"/>
  <c r="L28"/>
  <c r="J28"/>
  <c r="D28"/>
  <c r="I27"/>
  <c r="C27"/>
  <c r="C26"/>
  <c r="E26" s="1"/>
  <c r="I26" s="1"/>
  <c r="B26"/>
  <c r="C25"/>
  <c r="E25" s="1"/>
  <c r="I25" s="1"/>
  <c r="B25"/>
  <c r="C24"/>
  <c r="E24" s="1"/>
  <c r="I24" s="1"/>
  <c r="B24"/>
  <c r="C23"/>
  <c r="E23" s="1"/>
  <c r="I23" s="1"/>
  <c r="B23"/>
  <c r="C22"/>
  <c r="E22" s="1"/>
  <c r="I22" s="1"/>
  <c r="B22"/>
  <c r="C21"/>
  <c r="E21" s="1"/>
  <c r="I21" s="1"/>
  <c r="B21"/>
  <c r="E20"/>
  <c r="I20" s="1"/>
  <c r="I28" s="1"/>
  <c r="C20"/>
  <c r="B20"/>
  <c r="S18"/>
  <c r="R18"/>
  <c r="Q18"/>
  <c r="P18"/>
  <c r="O18"/>
  <c r="N18"/>
  <c r="M18"/>
  <c r="L18"/>
  <c r="J18"/>
  <c r="G18"/>
  <c r="F18"/>
  <c r="D18"/>
  <c r="E17"/>
  <c r="I17" s="1"/>
  <c r="C17"/>
  <c r="B17"/>
  <c r="E16"/>
  <c r="E15"/>
  <c r="I15" s="1"/>
  <c r="C15"/>
  <c r="B15"/>
  <c r="E14"/>
  <c r="I14" s="1"/>
  <c r="E13"/>
  <c r="I13" s="1"/>
  <c r="E12"/>
  <c r="I12" s="1"/>
  <c r="E11"/>
  <c r="I11" s="1"/>
  <c r="E10"/>
  <c r="I10" s="1"/>
  <c r="E9"/>
  <c r="I9" s="1"/>
  <c r="I8"/>
  <c r="E8"/>
  <c r="C8"/>
  <c r="B8"/>
  <c r="I7"/>
  <c r="E7"/>
  <c r="E18" s="1"/>
  <c r="C7"/>
  <c r="G18" i="72"/>
  <c r="R28"/>
  <c r="Q28"/>
  <c r="P28"/>
  <c r="O28"/>
  <c r="N28"/>
  <c r="M28"/>
  <c r="L28"/>
  <c r="K28"/>
  <c r="I28"/>
  <c r="D28"/>
  <c r="H27"/>
  <c r="C27"/>
  <c r="C26"/>
  <c r="E26" s="1"/>
  <c r="H26" s="1"/>
  <c r="B26"/>
  <c r="C25"/>
  <c r="E25" s="1"/>
  <c r="H25" s="1"/>
  <c r="B25"/>
  <c r="C24"/>
  <c r="E24" s="1"/>
  <c r="H24" s="1"/>
  <c r="B24"/>
  <c r="C23"/>
  <c r="E23" s="1"/>
  <c r="H23" s="1"/>
  <c r="B23"/>
  <c r="C22"/>
  <c r="E22" s="1"/>
  <c r="H22" s="1"/>
  <c r="B22"/>
  <c r="C21"/>
  <c r="E21" s="1"/>
  <c r="H21" s="1"/>
  <c r="B21"/>
  <c r="E20"/>
  <c r="H20" s="1"/>
  <c r="H28" s="1"/>
  <c r="C20"/>
  <c r="B20"/>
  <c r="R18"/>
  <c r="Q18"/>
  <c r="P18"/>
  <c r="O18"/>
  <c r="N18"/>
  <c r="M18"/>
  <c r="L18"/>
  <c r="K18"/>
  <c r="I18"/>
  <c r="F18"/>
  <c r="D18"/>
  <c r="E17"/>
  <c r="H17" s="1"/>
  <c r="C17"/>
  <c r="B17"/>
  <c r="E16"/>
  <c r="E15"/>
  <c r="H15" s="1"/>
  <c r="C15"/>
  <c r="B15"/>
  <c r="E14"/>
  <c r="H14" s="1"/>
  <c r="E13"/>
  <c r="H13" s="1"/>
  <c r="E12"/>
  <c r="H12" s="1"/>
  <c r="E11"/>
  <c r="H11" s="1"/>
  <c r="E10"/>
  <c r="H10" s="1"/>
  <c r="E9"/>
  <c r="H9" s="1"/>
  <c r="E8"/>
  <c r="H8" s="1"/>
  <c r="C8"/>
  <c r="B8"/>
  <c r="E7"/>
  <c r="H7" s="1"/>
  <c r="C7"/>
  <c r="G27" i="71"/>
  <c r="G11"/>
  <c r="E8"/>
  <c r="G8" s="1"/>
  <c r="E9"/>
  <c r="G9" s="1"/>
  <c r="E10"/>
  <c r="G10" s="1"/>
  <c r="E11"/>
  <c r="E12"/>
  <c r="G12" s="1"/>
  <c r="E13"/>
  <c r="G13" s="1"/>
  <c r="E14"/>
  <c r="G14" s="1"/>
  <c r="E15"/>
  <c r="G15" s="1"/>
  <c r="E16"/>
  <c r="E17"/>
  <c r="G17" s="1"/>
  <c r="E7"/>
  <c r="G7" s="1"/>
  <c r="G18" s="1"/>
  <c r="F18"/>
  <c r="D28"/>
  <c r="C27"/>
  <c r="C26"/>
  <c r="E26" s="1"/>
  <c r="G26" s="1"/>
  <c r="C25"/>
  <c r="E25" s="1"/>
  <c r="G25" s="1"/>
  <c r="C24"/>
  <c r="E24" s="1"/>
  <c r="G24" s="1"/>
  <c r="C23"/>
  <c r="E23" s="1"/>
  <c r="G23" s="1"/>
  <c r="C22"/>
  <c r="E22" s="1"/>
  <c r="G22" s="1"/>
  <c r="C21"/>
  <c r="E21" s="1"/>
  <c r="G21" s="1"/>
  <c r="C20"/>
  <c r="E20" s="1"/>
  <c r="D18"/>
  <c r="C17"/>
  <c r="C15"/>
  <c r="C8"/>
  <c r="C7"/>
  <c r="G28" i="70"/>
  <c r="B26" i="71"/>
  <c r="B25"/>
  <c r="B24"/>
  <c r="B23"/>
  <c r="B22"/>
  <c r="B21"/>
  <c r="B20"/>
  <c r="B17"/>
  <c r="B15"/>
  <c r="B8"/>
  <c r="B28" i="72" l="1"/>
  <c r="H18"/>
  <c r="G20" i="71"/>
  <c r="G28" s="1"/>
  <c r="E28"/>
  <c r="B28" i="73"/>
  <c r="I18"/>
  <c r="E28"/>
  <c r="E29" s="1"/>
  <c r="C28"/>
  <c r="E18" i="72"/>
  <c r="E28"/>
  <c r="E29" s="1"/>
  <c r="C28"/>
  <c r="E18" i="71"/>
  <c r="C28"/>
  <c r="D111" i="86"/>
  <c r="D112" s="1"/>
  <c r="D31"/>
  <c r="A1"/>
  <c r="E29" i="71" l="1"/>
  <c r="D27" i="44"/>
  <c r="C26" i="70" l="1"/>
  <c r="C25"/>
  <c r="C24"/>
  <c r="C23"/>
  <c r="C22"/>
  <c r="C21"/>
  <c r="C20"/>
  <c r="C17"/>
  <c r="C15"/>
  <c r="D18"/>
  <c r="C8"/>
  <c r="C7"/>
  <c r="B26"/>
  <c r="B25"/>
  <c r="B24"/>
  <c r="B23"/>
  <c r="B22"/>
  <c r="B21"/>
  <c r="B20"/>
  <c r="B17"/>
  <c r="B15"/>
  <c r="A1" i="50"/>
  <c r="G89"/>
  <c r="D89"/>
  <c r="H81"/>
  <c r="G28"/>
  <c r="D28"/>
  <c r="G14" i="85"/>
  <c r="E14"/>
  <c r="F47" i="75"/>
  <c r="E47"/>
  <c r="C47"/>
  <c r="I17" i="1" s="1"/>
  <c r="B47" i="75"/>
  <c r="G17" i="1" s="1"/>
  <c r="D17" i="58" l="1"/>
  <c r="D17" i="55"/>
  <c r="E229" i="68"/>
  <c r="E230"/>
  <c r="E231"/>
  <c r="B228"/>
  <c r="E228" s="1"/>
  <c r="C213"/>
  <c r="B213"/>
  <c r="E208"/>
  <c r="E209"/>
  <c r="E210"/>
  <c r="E211"/>
  <c r="E212"/>
  <c r="C201"/>
  <c r="C200"/>
  <c r="B201"/>
  <c r="B200"/>
  <c r="B204"/>
  <c r="C184"/>
  <c r="C192"/>
  <c r="B192"/>
  <c r="C191"/>
  <c r="B191"/>
  <c r="C189"/>
  <c r="B189"/>
  <c r="B186"/>
  <c r="C188"/>
  <c r="B188"/>
  <c r="B187"/>
  <c r="C187"/>
  <c r="C186"/>
  <c r="E185"/>
  <c r="E190"/>
  <c r="E193"/>
  <c r="E194"/>
  <c r="E195"/>
  <c r="E196"/>
  <c r="C180"/>
  <c r="C129"/>
  <c r="E159"/>
  <c r="E161"/>
  <c r="E163"/>
  <c r="E164"/>
  <c r="E167"/>
  <c r="E168"/>
  <c r="E169"/>
  <c r="E170"/>
  <c r="E173"/>
  <c r="E174"/>
  <c r="E175"/>
  <c r="E176"/>
  <c r="E177"/>
  <c r="E178"/>
  <c r="E179"/>
  <c r="B172"/>
  <c r="E172" s="1"/>
  <c r="B171"/>
  <c r="E171" s="1"/>
  <c r="B166"/>
  <c r="E166" s="1"/>
  <c r="B165"/>
  <c r="E165" s="1"/>
  <c r="B162"/>
  <c r="E162" s="1"/>
  <c r="B160"/>
  <c r="E160" s="1"/>
  <c r="B158"/>
  <c r="E158" s="1"/>
  <c r="B156"/>
  <c r="B153"/>
  <c r="B150"/>
  <c r="B148"/>
  <c r="B147"/>
  <c r="B140"/>
  <c r="C139"/>
  <c r="B133"/>
  <c r="B131"/>
  <c r="C124"/>
  <c r="C123"/>
  <c r="C122"/>
  <c r="C121"/>
  <c r="C115"/>
  <c r="C116"/>
  <c r="C114"/>
  <c r="C113"/>
  <c r="B113"/>
  <c r="C112"/>
  <c r="B108"/>
  <c r="B107"/>
  <c r="B106"/>
  <c r="B105"/>
  <c r="B104"/>
  <c r="E94"/>
  <c r="E95"/>
  <c r="E96"/>
  <c r="E97"/>
  <c r="E98"/>
  <c r="E99"/>
  <c r="E100"/>
  <c r="C11"/>
  <c r="E205" i="82"/>
  <c r="E143"/>
  <c r="E132"/>
  <c r="C128" i="68" s="1"/>
  <c r="F158" i="82"/>
  <c r="F161"/>
  <c r="F162"/>
  <c r="F149"/>
  <c r="F150"/>
  <c r="F151"/>
  <c r="F152"/>
  <c r="F153"/>
  <c r="F154"/>
  <c r="F134"/>
  <c r="F136"/>
  <c r="F138"/>
  <c r="F139"/>
  <c r="F140"/>
  <c r="F141"/>
  <c r="F142"/>
  <c r="F143"/>
  <c r="F145"/>
  <c r="D231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E419"/>
  <c r="E22"/>
  <c r="F8" i="70" s="1"/>
  <c r="E389" i="82"/>
  <c r="F15" i="54" s="1"/>
  <c r="H15" s="1"/>
  <c r="D389" i="82"/>
  <c r="F388"/>
  <c r="F389" s="1"/>
  <c r="F12"/>
  <c r="F14"/>
  <c r="E331"/>
  <c r="I17" i="70" s="1"/>
  <c r="F192" i="82"/>
  <c r="F55"/>
  <c r="F57"/>
  <c r="F58"/>
  <c r="E329"/>
  <c r="L17" i="70" s="1"/>
  <c r="D119" i="82"/>
  <c r="D113"/>
  <c r="E261"/>
  <c r="D261"/>
  <c r="D12" i="53" s="1"/>
  <c r="E155" i="82"/>
  <c r="D160"/>
  <c r="F160" s="1"/>
  <c r="D306"/>
  <c r="D302"/>
  <c r="D92"/>
  <c r="D8"/>
  <c r="D197"/>
  <c r="D294"/>
  <c r="D293"/>
  <c r="D225"/>
  <c r="F193"/>
  <c r="D222"/>
  <c r="D221"/>
  <c r="D122"/>
  <c r="B124" i="68" s="1"/>
  <c r="D120" i="82"/>
  <c r="B122" i="68" s="1"/>
  <c r="D67" i="82"/>
  <c r="D133"/>
  <c r="F133" s="1"/>
  <c r="D83"/>
  <c r="D159"/>
  <c r="F159" s="1"/>
  <c r="D157"/>
  <c r="D19"/>
  <c r="F19" s="1"/>
  <c r="D18"/>
  <c r="F18" s="1"/>
  <c r="D17"/>
  <c r="D74"/>
  <c r="D61"/>
  <c r="D137"/>
  <c r="F137" s="1"/>
  <c r="D50"/>
  <c r="B115" i="68" s="1"/>
  <c r="D174" i="82"/>
  <c r="D165"/>
  <c r="D135"/>
  <c r="F135" s="1"/>
  <c r="D20"/>
  <c r="F20" s="1"/>
  <c r="D144"/>
  <c r="F144" s="1"/>
  <c r="D380"/>
  <c r="D376"/>
  <c r="D98"/>
  <c r="D216"/>
  <c r="D78"/>
  <c r="B116" i="68" s="1"/>
  <c r="D77" i="82"/>
  <c r="D249"/>
  <c r="F248"/>
  <c r="D89"/>
  <c r="D177"/>
  <c r="D75"/>
  <c r="B114" i="68" s="1"/>
  <c r="D252" i="82"/>
  <c r="F422"/>
  <c r="D179"/>
  <c r="B180" i="68" s="1"/>
  <c r="D421" i="82"/>
  <c r="D423" s="1"/>
  <c r="D16" i="54" s="1"/>
  <c r="D187" i="82"/>
  <c r="E423"/>
  <c r="H15" i="70" s="1"/>
  <c r="D182" i="82"/>
  <c r="D24"/>
  <c r="B112" i="68" s="1"/>
  <c r="D10" i="82"/>
  <c r="D13"/>
  <c r="F13" s="1"/>
  <c r="D7"/>
  <c r="E427"/>
  <c r="N15" i="70" s="1"/>
  <c r="D427" i="82"/>
  <c r="D15" i="35" s="1"/>
  <c r="F425" i="82"/>
  <c r="G11" i="70" l="1"/>
  <c r="G11" i="53"/>
  <c r="E180" i="68"/>
  <c r="B121"/>
  <c r="G12" i="70"/>
  <c r="G12" i="53"/>
  <c r="K15" i="70"/>
  <c r="F15" i="57"/>
  <c r="B184" i="68"/>
  <c r="B128"/>
  <c r="B129"/>
  <c r="E17" i="55"/>
  <c r="F17" i="58"/>
  <c r="E8" i="27"/>
  <c r="G15" i="35"/>
  <c r="E428" i="82"/>
  <c r="F16" i="54"/>
  <c r="C205" i="68"/>
  <c r="E192"/>
  <c r="E191"/>
  <c r="E189"/>
  <c r="E188"/>
  <c r="E187"/>
  <c r="E186"/>
  <c r="F421" i="82"/>
  <c r="F423" s="1"/>
  <c r="C13" i="72" l="1"/>
  <c r="C13" i="73"/>
  <c r="C13" i="71"/>
  <c r="C13" i="70"/>
  <c r="E370" i="82"/>
  <c r="D370"/>
  <c r="D14" i="35" s="1"/>
  <c r="F368" i="82"/>
  <c r="E349"/>
  <c r="D349"/>
  <c r="F347"/>
  <c r="E392"/>
  <c r="D392"/>
  <c r="E341"/>
  <c r="D341"/>
  <c r="D393" s="1"/>
  <c r="D52"/>
  <c r="F426"/>
  <c r="F427" s="1"/>
  <c r="D419"/>
  <c r="F395"/>
  <c r="F419" s="1"/>
  <c r="F391"/>
  <c r="F392" s="1"/>
  <c r="E383"/>
  <c r="F382"/>
  <c r="F381"/>
  <c r="D383"/>
  <c r="E378"/>
  <c r="D378"/>
  <c r="F377"/>
  <c r="F376"/>
  <c r="E374"/>
  <c r="C221" i="68" s="1"/>
  <c r="D374" i="82"/>
  <c r="B221" i="68" s="1"/>
  <c r="F372" i="82"/>
  <c r="E366"/>
  <c r="D366"/>
  <c r="D14" i="55" s="1"/>
  <c r="F364" i="82"/>
  <c r="F363"/>
  <c r="E361"/>
  <c r="F14" i="54" s="1"/>
  <c r="D361" i="82"/>
  <c r="F359"/>
  <c r="E357"/>
  <c r="D357"/>
  <c r="F356"/>
  <c r="F355"/>
  <c r="E353"/>
  <c r="D353"/>
  <c r="D14" i="56" s="1"/>
  <c r="F352" i="82"/>
  <c r="F351"/>
  <c r="E345"/>
  <c r="G14" i="27" s="1"/>
  <c r="D345" i="82"/>
  <c r="F343"/>
  <c r="F342"/>
  <c r="F340"/>
  <c r="F339"/>
  <c r="F338"/>
  <c r="F337"/>
  <c r="F336"/>
  <c r="F330"/>
  <c r="F329"/>
  <c r="F328"/>
  <c r="E327"/>
  <c r="D327"/>
  <c r="F326"/>
  <c r="F324"/>
  <c r="F322"/>
  <c r="F320"/>
  <c r="E317"/>
  <c r="D317"/>
  <c r="F317"/>
  <c r="E312"/>
  <c r="D312"/>
  <c r="D13" i="54" s="1"/>
  <c r="F311" i="82"/>
  <c r="F310"/>
  <c r="F309"/>
  <c r="E307"/>
  <c r="F306"/>
  <c r="F305"/>
  <c r="F304"/>
  <c r="F303"/>
  <c r="N302"/>
  <c r="M302"/>
  <c r="L302"/>
  <c r="K302"/>
  <c r="J302"/>
  <c r="I302"/>
  <c r="H302"/>
  <c r="G302"/>
  <c r="F302"/>
  <c r="E299"/>
  <c r="D299"/>
  <c r="D12" i="35" s="1"/>
  <c r="F297" i="82"/>
  <c r="E295"/>
  <c r="F294"/>
  <c r="E291"/>
  <c r="F290"/>
  <c r="D291"/>
  <c r="D12" i="55" s="1"/>
  <c r="F288" i="82"/>
  <c r="E286"/>
  <c r="F12" i="54" s="1"/>
  <c r="D286" i="82"/>
  <c r="F284"/>
  <c r="E283"/>
  <c r="D283"/>
  <c r="F282"/>
  <c r="F281"/>
  <c r="F280"/>
  <c r="F279"/>
  <c r="E277"/>
  <c r="F12" i="57" s="1"/>
  <c r="F276" i="82"/>
  <c r="F275"/>
  <c r="E273"/>
  <c r="F272"/>
  <c r="F271"/>
  <c r="F269"/>
  <c r="F268"/>
  <c r="F267"/>
  <c r="E265"/>
  <c r="G12" i="27" s="1"/>
  <c r="D265" i="82"/>
  <c r="F264"/>
  <c r="F263"/>
  <c r="E258"/>
  <c r="F257"/>
  <c r="F256"/>
  <c r="F255"/>
  <c r="F254"/>
  <c r="F253"/>
  <c r="G252"/>
  <c r="D258"/>
  <c r="E249"/>
  <c r="F11" i="35" s="1"/>
  <c r="F247" i="82"/>
  <c r="F246"/>
  <c r="E243"/>
  <c r="D243"/>
  <c r="D11" i="35" s="1"/>
  <c r="F242" i="82"/>
  <c r="F241"/>
  <c r="F240"/>
  <c r="F238"/>
  <c r="E236"/>
  <c r="F234"/>
  <c r="F233"/>
  <c r="D232"/>
  <c r="F232" s="1"/>
  <c r="F230"/>
  <c r="F229"/>
  <c r="F227"/>
  <c r="E226"/>
  <c r="F225"/>
  <c r="F224"/>
  <c r="F222"/>
  <c r="E219"/>
  <c r="F218"/>
  <c r="F217"/>
  <c r="F216"/>
  <c r="D215"/>
  <c r="F215" s="1"/>
  <c r="F214"/>
  <c r="F212"/>
  <c r="F211"/>
  <c r="D209"/>
  <c r="F208"/>
  <c r="F207"/>
  <c r="E209"/>
  <c r="H11" i="57" s="1"/>
  <c r="E203" i="82"/>
  <c r="G11" i="57" s="1"/>
  <c r="D203" i="82"/>
  <c r="F202"/>
  <c r="F201"/>
  <c r="E199"/>
  <c r="F11" i="57" s="1"/>
  <c r="F198" i="82"/>
  <c r="F197"/>
  <c r="F199" s="1"/>
  <c r="E195"/>
  <c r="F194"/>
  <c r="F191"/>
  <c r="E189"/>
  <c r="F11" i="59" s="1"/>
  <c r="F188" i="82"/>
  <c r="F187"/>
  <c r="F186"/>
  <c r="E183"/>
  <c r="M11" i="70" s="1"/>
  <c r="D183" i="82"/>
  <c r="F182"/>
  <c r="E180"/>
  <c r="F11" i="54" s="1"/>
  <c r="F179" i="82"/>
  <c r="F178"/>
  <c r="F177"/>
  <c r="F176"/>
  <c r="F175"/>
  <c r="E172"/>
  <c r="F171"/>
  <c r="F170"/>
  <c r="F169"/>
  <c r="D168"/>
  <c r="F168" s="1"/>
  <c r="F167"/>
  <c r="F166"/>
  <c r="E163"/>
  <c r="G11" i="27" s="1"/>
  <c r="F157" i="82"/>
  <c r="F163" s="1"/>
  <c r="D155"/>
  <c r="D11" i="53" s="1"/>
  <c r="F148" i="82"/>
  <c r="F155" s="1"/>
  <c r="F147"/>
  <c r="E146"/>
  <c r="F132"/>
  <c r="F146" s="1"/>
  <c r="E129"/>
  <c r="F128"/>
  <c r="D127"/>
  <c r="F126"/>
  <c r="F125"/>
  <c r="E123"/>
  <c r="F122"/>
  <c r="F121"/>
  <c r="F120"/>
  <c r="D123"/>
  <c r="E117"/>
  <c r="D117"/>
  <c r="D10" i="55" s="1"/>
  <c r="F114" i="82"/>
  <c r="F113"/>
  <c r="E111"/>
  <c r="F10" i="54" s="1"/>
  <c r="D111" i="82"/>
  <c r="F110"/>
  <c r="F109"/>
  <c r="F108"/>
  <c r="E107"/>
  <c r="D107"/>
  <c r="F106"/>
  <c r="F105"/>
  <c r="F104"/>
  <c r="E102"/>
  <c r="D102"/>
  <c r="D10" i="57" s="1"/>
  <c r="F101" i="82"/>
  <c r="F100"/>
  <c r="F99"/>
  <c r="F98"/>
  <c r="E96"/>
  <c r="G10" i="27" s="1"/>
  <c r="F95" i="82"/>
  <c r="F94"/>
  <c r="F93"/>
  <c r="F92"/>
  <c r="E90"/>
  <c r="D90"/>
  <c r="D10" i="53" s="1"/>
  <c r="E87" i="82"/>
  <c r="F86"/>
  <c r="F85"/>
  <c r="F84"/>
  <c r="F83"/>
  <c r="E79"/>
  <c r="D79"/>
  <c r="F78"/>
  <c r="F77"/>
  <c r="E76"/>
  <c r="E80" s="1"/>
  <c r="F75"/>
  <c r="D76"/>
  <c r="E72"/>
  <c r="D72"/>
  <c r="F71"/>
  <c r="F70"/>
  <c r="E69"/>
  <c r="E73" s="1"/>
  <c r="D69"/>
  <c r="F68"/>
  <c r="F67"/>
  <c r="E65"/>
  <c r="D65"/>
  <c r="F64"/>
  <c r="E63"/>
  <c r="F62"/>
  <c r="F61"/>
  <c r="E59"/>
  <c r="D59"/>
  <c r="E56"/>
  <c r="D56"/>
  <c r="F54"/>
  <c r="E52"/>
  <c r="F51"/>
  <c r="E49"/>
  <c r="D49"/>
  <c r="D53" s="1"/>
  <c r="F48"/>
  <c r="F47"/>
  <c r="E45"/>
  <c r="D45"/>
  <c r="F44"/>
  <c r="F43"/>
  <c r="E42"/>
  <c r="E46" s="1"/>
  <c r="F41"/>
  <c r="D42"/>
  <c r="E38"/>
  <c r="D38"/>
  <c r="F37"/>
  <c r="F36"/>
  <c r="E35"/>
  <c r="E39" s="1"/>
  <c r="G9" i="27" s="1"/>
  <c r="D35" i="82"/>
  <c r="D39" s="1"/>
  <c r="F34"/>
  <c r="F33"/>
  <c r="F32"/>
  <c r="E30"/>
  <c r="D30"/>
  <c r="F29"/>
  <c r="F28"/>
  <c r="E27"/>
  <c r="E31" s="1"/>
  <c r="F26"/>
  <c r="F25"/>
  <c r="D27"/>
  <c r="D21"/>
  <c r="F17"/>
  <c r="E15"/>
  <c r="F10"/>
  <c r="F9"/>
  <c r="F8"/>
  <c r="F7"/>
  <c r="G74" i="51"/>
  <c r="G75"/>
  <c r="G76"/>
  <c r="G77"/>
  <c r="G78"/>
  <c r="G79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10" i="70" l="1"/>
  <c r="G10" i="53"/>
  <c r="F219" i="82"/>
  <c r="D12" i="27"/>
  <c r="E393" i="82"/>
  <c r="G14" i="70"/>
  <c r="G14" i="53"/>
  <c r="D14" i="54"/>
  <c r="F9" i="70"/>
  <c r="E9" i="27"/>
  <c r="N9" i="70"/>
  <c r="E9" i="35"/>
  <c r="H10" i="70"/>
  <c r="E10" i="54"/>
  <c r="N10" i="70"/>
  <c r="E10" i="35"/>
  <c r="H12" i="70"/>
  <c r="E12" i="54"/>
  <c r="F13" i="70"/>
  <c r="E13" i="27"/>
  <c r="E332" i="82"/>
  <c r="H17" i="70"/>
  <c r="F18" i="54"/>
  <c r="K14" i="70"/>
  <c r="E14" i="57"/>
  <c r="F10" i="70"/>
  <c r="E10" i="27"/>
  <c r="F123" i="82"/>
  <c r="D10" i="56"/>
  <c r="J10" i="70"/>
  <c r="E10" i="56"/>
  <c r="H11" i="70"/>
  <c r="E11" i="54"/>
  <c r="K11" i="70"/>
  <c r="E11" i="57"/>
  <c r="I11" i="70"/>
  <c r="E11" i="55"/>
  <c r="J11" i="70"/>
  <c r="F12"/>
  <c r="E12" i="27"/>
  <c r="K12" i="70"/>
  <c r="E12" i="57"/>
  <c r="I12" i="70"/>
  <c r="E12" i="55"/>
  <c r="D332" i="82"/>
  <c r="D18" i="54"/>
  <c r="F14" i="70"/>
  <c r="E14" i="27"/>
  <c r="C220" i="68"/>
  <c r="N14" i="70"/>
  <c r="E14" i="35"/>
  <c r="G14" s="1"/>
  <c r="D10" i="54"/>
  <c r="F203" i="82"/>
  <c r="F243"/>
  <c r="D12" i="54"/>
  <c r="D14" i="57"/>
  <c r="L11" i="70"/>
  <c r="F11" i="58"/>
  <c r="J12" i="70"/>
  <c r="E12" i="56"/>
  <c r="H13" i="70"/>
  <c r="F13" i="54"/>
  <c r="D428" i="82"/>
  <c r="D15" i="57"/>
  <c r="D14" i="27"/>
  <c r="B220" i="68"/>
  <c r="K9" i="70"/>
  <c r="E9" i="57"/>
  <c r="K10" i="70"/>
  <c r="E10" i="57"/>
  <c r="D129" i="82"/>
  <c r="D10" i="35" s="1"/>
  <c r="B123" i="68"/>
  <c r="F11" i="70"/>
  <c r="E11" i="27"/>
  <c r="O7" i="70"/>
  <c r="E8" i="26"/>
  <c r="J9" i="70"/>
  <c r="E9" i="56"/>
  <c r="I10" i="70"/>
  <c r="E10" i="55"/>
  <c r="N12" i="70"/>
  <c r="E12" i="35"/>
  <c r="E14" i="56"/>
  <c r="J14" i="70"/>
  <c r="H14"/>
  <c r="E14" i="54"/>
  <c r="F195" i="82"/>
  <c r="F249"/>
  <c r="N11" i="70"/>
  <c r="E11" i="35"/>
  <c r="I14" i="70"/>
  <c r="E14" i="55"/>
  <c r="E60" i="82"/>
  <c r="F9" i="54" s="1"/>
  <c r="E250" i="82"/>
  <c r="F21"/>
  <c r="D22"/>
  <c r="D8" i="27" s="1"/>
  <c r="E130" i="82"/>
  <c r="E300"/>
  <c r="D60"/>
  <c r="D9" i="54" s="1"/>
  <c r="F56" i="82"/>
  <c r="F59"/>
  <c r="F370"/>
  <c r="F349"/>
  <c r="F291"/>
  <c r="F52"/>
  <c r="F90"/>
  <c r="E313"/>
  <c r="F261"/>
  <c r="D73"/>
  <c r="D9" i="56" s="1"/>
  <c r="F22" i="82"/>
  <c r="F30"/>
  <c r="F259"/>
  <c r="F299"/>
  <c r="F283"/>
  <c r="F327"/>
  <c r="F332" s="1"/>
  <c r="F45"/>
  <c r="F60"/>
  <c r="E66"/>
  <c r="F72"/>
  <c r="F102"/>
  <c r="D189"/>
  <c r="D11" i="59" s="1"/>
  <c r="F286" i="82"/>
  <c r="F341"/>
  <c r="F345"/>
  <c r="F353"/>
  <c r="F357"/>
  <c r="F361"/>
  <c r="F374"/>
  <c r="F378"/>
  <c r="E53"/>
  <c r="F65"/>
  <c r="F79"/>
  <c r="F96"/>
  <c r="F183"/>
  <c r="D226"/>
  <c r="D236"/>
  <c r="D11" i="58" s="1"/>
  <c r="D273" i="82"/>
  <c r="F107"/>
  <c r="D146"/>
  <c r="D172"/>
  <c r="D11" i="54" s="1"/>
  <c r="D180" i="82"/>
  <c r="F205"/>
  <c r="F209" s="1"/>
  <c r="F221"/>
  <c r="F226" s="1"/>
  <c r="F252"/>
  <c r="F265"/>
  <c r="D295"/>
  <c r="F366"/>
  <c r="F428"/>
  <c r="F11"/>
  <c r="F39"/>
  <c r="F38"/>
  <c r="F73"/>
  <c r="F111"/>
  <c r="F117"/>
  <c r="D199"/>
  <c r="D219"/>
  <c r="D11" i="55" s="1"/>
  <c r="F312" i="82"/>
  <c r="F129"/>
  <c r="D46"/>
  <c r="F42"/>
  <c r="F258"/>
  <c r="F27"/>
  <c r="D31"/>
  <c r="D9" i="27" s="1"/>
  <c r="D80" i="82"/>
  <c r="D9" i="35" s="1"/>
  <c r="F76" i="82"/>
  <c r="D15"/>
  <c r="D8" i="26" s="1"/>
  <c r="F35" i="82"/>
  <c r="F50"/>
  <c r="D63"/>
  <c r="F69"/>
  <c r="F89"/>
  <c r="D96"/>
  <c r="F119"/>
  <c r="F127"/>
  <c r="D277"/>
  <c r="F277" s="1"/>
  <c r="F289"/>
  <c r="D307"/>
  <c r="F24"/>
  <c r="F40"/>
  <c r="D87"/>
  <c r="F165"/>
  <c r="F172" s="1"/>
  <c r="F174"/>
  <c r="F180" s="1"/>
  <c r="F184"/>
  <c r="F189" s="1"/>
  <c r="F293"/>
  <c r="F380"/>
  <c r="F383" s="1"/>
  <c r="F49"/>
  <c r="F74"/>
  <c r="D163"/>
  <c r="D195"/>
  <c r="D11" i="57" s="1"/>
  <c r="F231" i="82"/>
  <c r="F236" s="1"/>
  <c r="F270"/>
  <c r="E19" i="19"/>
  <c r="G52" i="79"/>
  <c r="E22" i="74"/>
  <c r="G18" i="70" l="1"/>
  <c r="F46" i="82"/>
  <c r="D9" i="57"/>
  <c r="I9" i="70"/>
  <c r="E9" i="55"/>
  <c r="F273" i="82"/>
  <c r="D12" i="57"/>
  <c r="D130" i="82"/>
  <c r="D10" i="27"/>
  <c r="F295" i="82"/>
  <c r="D12" i="56"/>
  <c r="F53" i="82"/>
  <c r="H9" i="70"/>
  <c r="E9" i="54"/>
  <c r="D313" i="82"/>
  <c r="F313" s="1"/>
  <c r="D13" i="27"/>
  <c r="F250" i="82"/>
  <c r="D11" i="27"/>
  <c r="D11" i="56"/>
  <c r="D250" i="82"/>
  <c r="D300"/>
  <c r="E81"/>
  <c r="E333" s="1"/>
  <c r="E429" s="1"/>
  <c r="F393"/>
  <c r="F15"/>
  <c r="F307"/>
  <c r="F87"/>
  <c r="F130"/>
  <c r="F300"/>
  <c r="F31"/>
  <c r="F63"/>
  <c r="D66"/>
  <c r="F80"/>
  <c r="B261" i="68"/>
  <c r="B260"/>
  <c r="B259"/>
  <c r="B258"/>
  <c r="C233"/>
  <c r="B233"/>
  <c r="C224"/>
  <c r="B224"/>
  <c r="C216"/>
  <c r="B216"/>
  <c r="E215"/>
  <c r="E206"/>
  <c r="E199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29"/>
  <c r="C181"/>
  <c r="B181"/>
  <c r="C126"/>
  <c r="B126"/>
  <c r="E120"/>
  <c r="E119"/>
  <c r="C117"/>
  <c r="B117"/>
  <c r="C109"/>
  <c r="E108"/>
  <c r="E107"/>
  <c r="E106"/>
  <c r="E105"/>
  <c r="E104"/>
  <c r="E103"/>
  <c r="C101"/>
  <c r="B101"/>
  <c r="E93"/>
  <c r="E101" s="1"/>
  <c r="C61"/>
  <c r="B61"/>
  <c r="E60"/>
  <c r="E59"/>
  <c r="E58"/>
  <c r="C55"/>
  <c r="B55"/>
  <c r="E54"/>
  <c r="C52"/>
  <c r="B52"/>
  <c r="E51"/>
  <c r="E50"/>
  <c r="E49"/>
  <c r="C48"/>
  <c r="B48"/>
  <c r="E47"/>
  <c r="C43"/>
  <c r="B43"/>
  <c r="E42"/>
  <c r="E41"/>
  <c r="C40"/>
  <c r="B40"/>
  <c r="E39"/>
  <c r="E38"/>
  <c r="E37"/>
  <c r="E36"/>
  <c r="E35"/>
  <c r="E34"/>
  <c r="E33"/>
  <c r="E32"/>
  <c r="E31"/>
  <c r="E30"/>
  <c r="E29"/>
  <c r="C25"/>
  <c r="B25"/>
  <c r="E14"/>
  <c r="C13"/>
  <c r="B13"/>
  <c r="E10"/>
  <c r="F66" i="82" l="1"/>
  <c r="D9" i="55"/>
  <c r="C10" i="72"/>
  <c r="C10" i="73"/>
  <c r="C10" i="71"/>
  <c r="C10" i="70"/>
  <c r="B9"/>
  <c r="B9" i="73"/>
  <c r="B9" i="72"/>
  <c r="B9" i="71"/>
  <c r="B10" i="70"/>
  <c r="B10" i="71"/>
  <c r="B10" i="73"/>
  <c r="B10" i="72"/>
  <c r="B14" i="70"/>
  <c r="B14" i="71"/>
  <c r="B14" i="73"/>
  <c r="B14" i="72"/>
  <c r="C11"/>
  <c r="C11" i="71"/>
  <c r="C11" i="73"/>
  <c r="C11" i="70"/>
  <c r="C9" i="72"/>
  <c r="C9" i="73"/>
  <c r="C9" i="71"/>
  <c r="C9" i="70"/>
  <c r="C14" i="72"/>
  <c r="C14" i="73"/>
  <c r="C14" i="71"/>
  <c r="C14" i="70"/>
  <c r="B11" i="73"/>
  <c r="B11" i="71"/>
  <c r="B11" i="72"/>
  <c r="B11" i="70"/>
  <c r="E233" i="68"/>
  <c r="B205"/>
  <c r="E213"/>
  <c r="C198"/>
  <c r="C26"/>
  <c r="C62" s="1"/>
  <c r="E201"/>
  <c r="E202"/>
  <c r="E203"/>
  <c r="E204"/>
  <c r="B26"/>
  <c r="B62" s="1"/>
  <c r="E40"/>
  <c r="E48"/>
  <c r="E55"/>
  <c r="E216"/>
  <c r="E221"/>
  <c r="E222"/>
  <c r="E223"/>
  <c r="E181"/>
  <c r="E43"/>
  <c r="E52"/>
  <c r="B109"/>
  <c r="B8" i="70" s="1"/>
  <c r="E113" i="68"/>
  <c r="E114"/>
  <c r="E115"/>
  <c r="E116"/>
  <c r="E122"/>
  <c r="E123"/>
  <c r="E124"/>
  <c r="D81" i="82"/>
  <c r="D333" s="1"/>
  <c r="E153" i="68"/>
  <c r="E154"/>
  <c r="E155"/>
  <c r="E156"/>
  <c r="E157"/>
  <c r="E184"/>
  <c r="E207"/>
  <c r="E109"/>
  <c r="E126"/>
  <c r="E25"/>
  <c r="E61"/>
  <c r="E112"/>
  <c r="E121"/>
  <c r="E128"/>
  <c r="B198"/>
  <c r="E200"/>
  <c r="E220"/>
  <c r="E227"/>
  <c r="E205" l="1"/>
  <c r="B13" i="73"/>
  <c r="B13" i="72"/>
  <c r="B13" i="71"/>
  <c r="B13" i="70"/>
  <c r="B12" i="73"/>
  <c r="B12" i="71"/>
  <c r="B12" i="72"/>
  <c r="B12" i="70"/>
  <c r="C234" i="68"/>
  <c r="C235" s="1"/>
  <c r="C12" i="72"/>
  <c r="C18" s="1"/>
  <c r="C12" i="71"/>
  <c r="C18" s="1"/>
  <c r="C12" i="73"/>
  <c r="C18" s="1"/>
  <c r="C12" i="70"/>
  <c r="B234" i="68"/>
  <c r="E198"/>
  <c r="E26"/>
  <c r="E224"/>
  <c r="E117"/>
  <c r="F81" i="82"/>
  <c r="D429"/>
  <c r="E62" i="68"/>
  <c r="E234" l="1"/>
  <c r="F333" i="82"/>
  <c r="F429"/>
  <c r="D28" i="70"/>
  <c r="D81" i="51"/>
  <c r="E81"/>
  <c r="F81"/>
  <c r="C19" i="19"/>
  <c r="G21" i="1" s="1"/>
  <c r="G20" i="79"/>
  <c r="G20" i="1" s="1"/>
  <c r="F13" i="10"/>
  <c r="F40" i="74" l="1"/>
  <c r="E40"/>
  <c r="E41" s="1"/>
  <c r="D40"/>
  <c r="D41" s="1"/>
  <c r="C40"/>
  <c r="B40"/>
  <c r="G39"/>
  <c r="G38"/>
  <c r="G37"/>
  <c r="G36"/>
  <c r="G35"/>
  <c r="G34"/>
  <c r="G33"/>
  <c r="G32"/>
  <c r="G31"/>
  <c r="G30"/>
  <c r="G29"/>
  <c r="G28"/>
  <c r="G27"/>
  <c r="G26"/>
  <c r="G25"/>
  <c r="G24"/>
  <c r="F22"/>
  <c r="F41" s="1"/>
  <c r="C22"/>
  <c r="B22"/>
  <c r="G15"/>
  <c r="G11"/>
  <c r="G22" s="1"/>
  <c r="D19" i="44"/>
  <c r="D15"/>
  <c r="B41" i="74" l="1"/>
  <c r="D11" i="44"/>
  <c r="D29" s="1"/>
  <c r="C41" i="74"/>
  <c r="G40"/>
  <c r="G41" s="1"/>
  <c r="Q28" i="71"/>
  <c r="P28"/>
  <c r="O28"/>
  <c r="N28"/>
  <c r="M28"/>
  <c r="L28"/>
  <c r="K28"/>
  <c r="J28"/>
  <c r="H28"/>
  <c r="Q18"/>
  <c r="O28" i="70"/>
  <c r="N28"/>
  <c r="M28"/>
  <c r="L28"/>
  <c r="K28"/>
  <c r="J28"/>
  <c r="I28"/>
  <c r="H28"/>
  <c r="F28"/>
  <c r="C27"/>
  <c r="E27" s="1"/>
  <c r="E26"/>
  <c r="E25"/>
  <c r="E24"/>
  <c r="E23"/>
  <c r="E22"/>
  <c r="E21"/>
  <c r="M17"/>
  <c r="K17"/>
  <c r="F17"/>
  <c r="F18" s="1"/>
  <c r="M16"/>
  <c r="L16"/>
  <c r="K16"/>
  <c r="J16"/>
  <c r="H16"/>
  <c r="H18" s="1"/>
  <c r="M15"/>
  <c r="L15"/>
  <c r="J15"/>
  <c r="M14"/>
  <c r="L14"/>
  <c r="M13"/>
  <c r="L13"/>
  <c r="K13"/>
  <c r="J13"/>
  <c r="I13"/>
  <c r="M12"/>
  <c r="M10"/>
  <c r="L10"/>
  <c r="M9"/>
  <c r="L9"/>
  <c r="N8"/>
  <c r="M8"/>
  <c r="L8"/>
  <c r="K8"/>
  <c r="J8"/>
  <c r="I8"/>
  <c r="E7"/>
  <c r="I18" l="1"/>
  <c r="E20"/>
  <c r="E28" s="1"/>
  <c r="E9"/>
  <c r="E14"/>
  <c r="E17"/>
  <c r="E11"/>
  <c r="E13"/>
  <c r="E8"/>
  <c r="E12"/>
  <c r="E16"/>
  <c r="E10"/>
  <c r="E15"/>
  <c r="L18" i="71"/>
  <c r="P18"/>
  <c r="M18"/>
  <c r="K18"/>
  <c r="N18"/>
  <c r="H18"/>
  <c r="O18"/>
  <c r="B28"/>
  <c r="J18"/>
  <c r="K18" i="70"/>
  <c r="N18"/>
  <c r="B28"/>
  <c r="L18"/>
  <c r="J18"/>
  <c r="M18"/>
  <c r="O18"/>
  <c r="C28" l="1"/>
  <c r="E18"/>
  <c r="E29" s="1"/>
  <c r="C18"/>
  <c r="G12" i="35" l="1"/>
  <c r="F18"/>
  <c r="G10"/>
  <c r="G9"/>
  <c r="G8"/>
  <c r="G17" i="59"/>
  <c r="G16"/>
  <c r="G15"/>
  <c r="G14"/>
  <c r="G13"/>
  <c r="G12"/>
  <c r="F18"/>
  <c r="E11"/>
  <c r="E18" s="1"/>
  <c r="D18"/>
  <c r="G10"/>
  <c r="G9"/>
  <c r="G8"/>
  <c r="E18" i="58"/>
  <c r="G17"/>
  <c r="G16"/>
  <c r="G15"/>
  <c r="G14"/>
  <c r="G13"/>
  <c r="G12"/>
  <c r="G11"/>
  <c r="G10"/>
  <c r="G9"/>
  <c r="G8"/>
  <c r="I17" i="57"/>
  <c r="I16"/>
  <c r="I15"/>
  <c r="I14"/>
  <c r="I13"/>
  <c r="F18"/>
  <c r="H18"/>
  <c r="G18"/>
  <c r="I11"/>
  <c r="I10"/>
  <c r="I8"/>
  <c r="G18" i="58" l="1"/>
  <c r="D18"/>
  <c r="G11" i="35"/>
  <c r="E18" i="57"/>
  <c r="D18"/>
  <c r="E18" i="35"/>
  <c r="I12" i="57"/>
  <c r="D18" i="35"/>
  <c r="G11" i="59"/>
  <c r="F18" i="58"/>
  <c r="I9" i="57"/>
  <c r="E16" i="56"/>
  <c r="G16" s="1"/>
  <c r="G14"/>
  <c r="G12"/>
  <c r="G11"/>
  <c r="G10"/>
  <c r="E18"/>
  <c r="G8"/>
  <c r="G18" i="55"/>
  <c r="F18"/>
  <c r="H17"/>
  <c r="H14"/>
  <c r="H12"/>
  <c r="H11"/>
  <c r="H10"/>
  <c r="H8"/>
  <c r="G19" i="54"/>
  <c r="H18"/>
  <c r="H17"/>
  <c r="H16"/>
  <c r="H14"/>
  <c r="H13"/>
  <c r="H8"/>
  <c r="F18" i="53"/>
  <c r="H17"/>
  <c r="H16"/>
  <c r="H15"/>
  <c r="H14"/>
  <c r="H13"/>
  <c r="H12"/>
  <c r="E18"/>
  <c r="H9"/>
  <c r="H8"/>
  <c r="F18" i="27"/>
  <c r="E17"/>
  <c r="H17" s="1"/>
  <c r="H16"/>
  <c r="H15"/>
  <c r="H13"/>
  <c r="H11"/>
  <c r="F9" i="26"/>
  <c r="E19"/>
  <c r="D19"/>
  <c r="H216" i="51"/>
  <c r="F216"/>
  <c r="E216"/>
  <c r="D216"/>
  <c r="G215"/>
  <c r="G214"/>
  <c r="G213"/>
  <c r="G211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1"/>
  <c r="B7" i="71" l="1"/>
  <c r="B18" s="1"/>
  <c r="B7" i="73"/>
  <c r="B18" s="1"/>
  <c r="B7" i="72"/>
  <c r="B18" s="1"/>
  <c r="B7" i="70"/>
  <c r="B18" s="1"/>
  <c r="G18" i="35"/>
  <c r="O16" i="60"/>
  <c r="O17"/>
  <c r="G81" i="51"/>
  <c r="G216"/>
  <c r="E18" i="55"/>
  <c r="H10" i="54"/>
  <c r="H10" i="53"/>
  <c r="H9" i="27"/>
  <c r="D19" i="54"/>
  <c r="G18" i="59"/>
  <c r="O14" i="60"/>
  <c r="I18" i="57"/>
  <c r="E18" i="27"/>
  <c r="F19" i="54"/>
  <c r="H12"/>
  <c r="O18" i="60"/>
  <c r="D18" i="53"/>
  <c r="G18"/>
  <c r="F8" i="26"/>
  <c r="D18" i="27"/>
  <c r="G18"/>
  <c r="H10"/>
  <c r="H12"/>
  <c r="H14"/>
  <c r="O15" i="60" s="1"/>
  <c r="E19" i="54"/>
  <c r="H11"/>
  <c r="D18" i="55"/>
  <c r="H9"/>
  <c r="D18" i="56"/>
  <c r="G9"/>
  <c r="H9" i="54"/>
  <c r="H11" i="53"/>
  <c r="H8" i="27"/>
  <c r="D23" i="26" l="1"/>
  <c r="O12" i="60"/>
  <c r="O11"/>
  <c r="G18" i="56"/>
  <c r="H18" i="27"/>
  <c r="O9" i="60"/>
  <c r="H18" i="55"/>
  <c r="H18" i="53"/>
  <c r="E23" i="26" s="1"/>
  <c r="O13" i="60"/>
  <c r="O8"/>
  <c r="F19" i="26"/>
  <c r="H19" i="54"/>
  <c r="D64" i="12"/>
  <c r="I12" i="1" s="1"/>
  <c r="D33" i="12"/>
  <c r="G12" i="1" s="1"/>
  <c r="A1" i="44"/>
  <c r="O19" i="60" l="1"/>
  <c r="O10"/>
  <c r="L19" i="47"/>
  <c r="K19"/>
  <c r="J19"/>
  <c r="I19"/>
  <c r="H19"/>
  <c r="G19"/>
  <c r="F19"/>
  <c r="E19"/>
  <c r="D19"/>
  <c r="C19"/>
  <c r="M17"/>
  <c r="M16"/>
  <c r="M15"/>
  <c r="M14"/>
  <c r="M13"/>
  <c r="M12"/>
  <c r="M11"/>
  <c r="M10"/>
  <c r="M9"/>
  <c r="M8"/>
  <c r="M7"/>
  <c r="A1"/>
  <c r="L19" i="46"/>
  <c r="K19"/>
  <c r="J19"/>
  <c r="I19"/>
  <c r="H19"/>
  <c r="G19"/>
  <c r="F19"/>
  <c r="E19"/>
  <c r="D19"/>
  <c r="C19"/>
  <c r="M17"/>
  <c r="M16"/>
  <c r="M15"/>
  <c r="M14"/>
  <c r="M13"/>
  <c r="M12"/>
  <c r="M11"/>
  <c r="M10"/>
  <c r="M9"/>
  <c r="M8"/>
  <c r="M7"/>
  <c r="A1"/>
  <c r="M19" l="1"/>
  <c r="M19" i="47"/>
  <c r="M8" i="39"/>
  <c r="M9"/>
  <c r="M10"/>
  <c r="M11"/>
  <c r="M12"/>
  <c r="M13"/>
  <c r="M14"/>
  <c r="M15"/>
  <c r="M16"/>
  <c r="M17"/>
  <c r="M7"/>
  <c r="D19"/>
  <c r="E19"/>
  <c r="F19"/>
  <c r="G19"/>
  <c r="H19"/>
  <c r="I19"/>
  <c r="J19"/>
  <c r="K19"/>
  <c r="L19"/>
  <c r="C19"/>
  <c r="M19" l="1"/>
  <c r="H8" i="13"/>
  <c r="F8"/>
  <c r="G13" i="1" s="1"/>
  <c r="G12" i="10" l="1"/>
  <c r="G13" s="1"/>
  <c r="D13"/>
  <c r="C13"/>
  <c r="A1" i="13" l="1"/>
  <c r="A1" i="39"/>
  <c r="I27" i="1" l="1"/>
  <c r="G27"/>
  <c r="I21"/>
  <c r="I22" s="1"/>
  <c r="I23" s="1"/>
  <c r="I13"/>
  <c r="I28" l="1"/>
  <c r="G22"/>
  <c r="G23" s="1"/>
  <c r="I14"/>
  <c r="I15" s="1"/>
  <c r="G14"/>
  <c r="G15" s="1"/>
  <c r="G28" l="1"/>
</calcChain>
</file>

<file path=xl/sharedStrings.xml><?xml version="1.0" encoding="utf-8"?>
<sst xmlns="http://schemas.openxmlformats.org/spreadsheetml/2006/main" count="3415" uniqueCount="1317">
  <si>
    <t>งบแสดงฐานะการเงิน</t>
  </si>
  <si>
    <t>ทรัพย์สินตามงบทรัพย์สิน</t>
  </si>
  <si>
    <t>สินทรัพย์</t>
  </si>
  <si>
    <t>สินทรัพย์หมุนเวียน</t>
  </si>
  <si>
    <t>เงินสดและเงินฝากธนาคาร</t>
  </si>
  <si>
    <t>รายได้จากรัฐบาลค้างรับ</t>
  </si>
  <si>
    <t>ลูกหนี้ค่าภาษี</t>
  </si>
  <si>
    <t>ลูกหนี้เงินทุนโครงการเศรษฐกิจชุมชน</t>
  </si>
  <si>
    <t>ลูกหนี้อื่นๆ</t>
  </si>
  <si>
    <t>รวมสินทรัพย์หมุนเวียน</t>
  </si>
  <si>
    <t>รวมสินทรัพย์</t>
  </si>
  <si>
    <t>หมายเหตุประกอบงบแสดงฐานะการเงินเป็นส่วนหนึ่งของงบการเงินนี้</t>
  </si>
  <si>
    <t>หมายเหตุ</t>
  </si>
  <si>
    <t>หนี้สิน</t>
  </si>
  <si>
    <t>หนี้สินหมุนเวียน</t>
  </si>
  <si>
    <t>รายจ่ายค้างจ่าย</t>
  </si>
  <si>
    <t>เงินรับฝาก</t>
  </si>
  <si>
    <t>รวมหนี้สินหมุนเวียน</t>
  </si>
  <si>
    <t>เงินสะสม</t>
  </si>
  <si>
    <t>เงินทุนสำรองเงินสะสม</t>
  </si>
  <si>
    <t>รวมเงินสะสม</t>
  </si>
  <si>
    <t>รวมหนี้สินและเงินสะสม</t>
  </si>
  <si>
    <t>ผู้อำนวยการกองคลัง</t>
  </si>
  <si>
    <t>หมายเหตุประกอบงบแสดงฐานะการเงิน</t>
  </si>
  <si>
    <t>สำหรับปี  สิ้นสุดวันที่  30  กันยายน  2561</t>
  </si>
  <si>
    <t>ข้อมูลทั่วไป</t>
  </si>
  <si>
    <t>ประเภททรัพย์สิน</t>
  </si>
  <si>
    <t>ครุภัณฑ์สำนักงาน</t>
  </si>
  <si>
    <t>ครุภัณฑ์คอมพิวเตอร์</t>
  </si>
  <si>
    <t>ครุภัณฑ์อื่น</t>
  </si>
  <si>
    <t>ราคาทรัพย์สิน</t>
  </si>
  <si>
    <t>ชื่อ</t>
  </si>
  <si>
    <t>จำนวนเงิน</t>
  </si>
  <si>
    <t>รายได้</t>
  </si>
  <si>
    <t>เงินกู้</t>
  </si>
  <si>
    <t>รวม</t>
  </si>
  <si>
    <t>คำอธิบาย</t>
  </si>
  <si>
    <t>เงินสด</t>
  </si>
  <si>
    <t>ชื่อ - สกุล  ผู้ยืม</t>
  </si>
  <si>
    <t>แหล่งเงิน</t>
  </si>
  <si>
    <t>รวมทั้งสิ้น</t>
  </si>
  <si>
    <t>โครงการ</t>
  </si>
  <si>
    <t>2560</t>
  </si>
  <si>
    <t>ประเภทลูกหนี้</t>
  </si>
  <si>
    <t>ประจำปี</t>
  </si>
  <si>
    <t>จำนวนราย</t>
  </si>
  <si>
    <t>ลูกหนี้ภาษีบำรุงท้องที่</t>
  </si>
  <si>
    <t>โครงการที่ยืม</t>
  </si>
  <si>
    <t>แผนงาน</t>
  </si>
  <si>
    <t>งาน</t>
  </si>
  <si>
    <t>หมวด</t>
  </si>
  <si>
    <t>ประเภท</t>
  </si>
  <si>
    <t>รายรับจริงสูงกว่ารายจ่ายจริง</t>
  </si>
  <si>
    <t xml:space="preserve">      (เงินทุนสำรองเงินสะสม)</t>
  </si>
  <si>
    <t>บวก</t>
  </si>
  <si>
    <t>รายรับจริงสูงกว่ารายจ่ายจริงหลังหักเงินทุนสำรองเงินสะสม</t>
  </si>
  <si>
    <t>หัก</t>
  </si>
  <si>
    <t>จ่ายขาดเงินสะสม</t>
  </si>
  <si>
    <t>2561</t>
  </si>
  <si>
    <t>ทั้งนี้  ได้รับอนุมัติให้จ่ายเงินสะสมที่อยู่ระหว่างดำเนินการจำนวน</t>
  </si>
  <si>
    <t>ก่อหนี้ผูกพัน</t>
  </si>
  <si>
    <t>เบิกจ่ายแล้ว</t>
  </si>
  <si>
    <t>คงเหลือ</t>
  </si>
  <si>
    <t>ยังไม่ได้ก่อหนี้</t>
  </si>
  <si>
    <t>หมายเหตุ  แหล่งเงินให้ระบุเงินงบประมาณหรือเงินอุดหนุนระบุวัตถุประสงค์/เฉพาะกิจ</t>
  </si>
  <si>
    <t>งบ</t>
  </si>
  <si>
    <t>ประมาณการ</t>
  </si>
  <si>
    <t>งบกลาง</t>
  </si>
  <si>
    <t>งานบริหารงานคลัง</t>
  </si>
  <si>
    <t>งบบุคลากร</t>
  </si>
  <si>
    <t>งบดำเนินงาน</t>
  </si>
  <si>
    <t>ค่าตอบแทน</t>
  </si>
  <si>
    <t>ค่าใช้สอย</t>
  </si>
  <si>
    <t>ค่าวัสดุ</t>
  </si>
  <si>
    <t>ค่าสาธารณูปโภค</t>
  </si>
  <si>
    <t>งบลงทุน</t>
  </si>
  <si>
    <t>ค่าครุภัณฑ์</t>
  </si>
  <si>
    <t>ค่าที่ดินและสิ่งก่อสร้าง</t>
  </si>
  <si>
    <t>งบรายจ่ายอื่น</t>
  </si>
  <si>
    <t>รายจ่ายอื่น</t>
  </si>
  <si>
    <t>งบเงินอุดหนุน</t>
  </si>
  <si>
    <t>เงินอุดหนุน</t>
  </si>
  <si>
    <t>งานเทศกิจ</t>
  </si>
  <si>
    <t>งานป้องกันฝ่ายพลเรือนและระงับอัคคีภัย</t>
  </si>
  <si>
    <t>งานระดับก่อนวัยเรียนและประถมศึกษา</t>
  </si>
  <si>
    <t>งานศึกษาไม่กำหนดระดับ</t>
  </si>
  <si>
    <t>งานบริการสาธารณสุขและงานสาธารณสุขอื่น</t>
  </si>
  <si>
    <t>งานไฟฟ้าถนน</t>
  </si>
  <si>
    <t>งานสวนสาธารณะ</t>
  </si>
  <si>
    <t>งานกำจัดขยะมูลฝอยและสิ่งปฏิกูล</t>
  </si>
  <si>
    <t>งานส่งเสริมและสนับสนุนความเข้มแข็งของชุมชน</t>
  </si>
  <si>
    <t>งานกีฬาและนันทนาการ</t>
  </si>
  <si>
    <t>งานศาสนาและวัฒนธรรมท้องถิ่น</t>
  </si>
  <si>
    <t>งานส่งเสริมการเกษตร</t>
  </si>
  <si>
    <t>งานอนุรักษ์แหล่งน้ำและป่าไม้</t>
  </si>
  <si>
    <t>รายงานรายจ่ายในการดำเนินงานที่จ่ายจากเงินรายรับตามแผนงานรวม</t>
  </si>
  <si>
    <t>รายจ่าย</t>
  </si>
  <si>
    <t>บริหารงานทั่วไป</t>
  </si>
  <si>
    <t>การรักษาความสงบภายใน</t>
  </si>
  <si>
    <t>การศึกษา</t>
  </si>
  <si>
    <t>สาธารณสุข</t>
  </si>
  <si>
    <t>สังคมสงเคราะห์</t>
  </si>
  <si>
    <t>เคหะและชุมชน</t>
  </si>
  <si>
    <t>สร้างความเข้มแข็งของชุมชน</t>
  </si>
  <si>
    <t>การศาสนาวัฒนธรรมและนันทนาการ</t>
  </si>
  <si>
    <t>การเกษตร</t>
  </si>
  <si>
    <t>รายงานรายจ่ายในการดำเนินงานที่จ่ายจากเงินสะสม</t>
  </si>
  <si>
    <t>รายรับ</t>
  </si>
  <si>
    <t>ภาษีอากร</t>
  </si>
  <si>
    <t>ค่าธรรมเนียมค่าปรับและใบอนุญาต</t>
  </si>
  <si>
    <t>รายได้เบ็ดเตล็ด</t>
  </si>
  <si>
    <t>รายได้จากทุน</t>
  </si>
  <si>
    <t>เงินอุดหนุนทั่วไป</t>
  </si>
  <si>
    <t>รวมจ่ายจากเงินงบประมาณ</t>
  </si>
  <si>
    <t>รวมหนี้สิน</t>
  </si>
  <si>
    <t>ปี 2560</t>
  </si>
  <si>
    <t>เงินรับฝากภาษีหัก ณ ที่จ่าย</t>
  </si>
  <si>
    <t>เงินรับฝากค่าใช้จ่ายในการจัดเก็บภาษีบำรุงท้องที่ 5%</t>
  </si>
  <si>
    <t>เงินรับฝากส่วนลดในการจัดเก็บภาษีบำรุงท้องที่ 6%</t>
  </si>
  <si>
    <t>เงินรับฝากประกันสัญญา</t>
  </si>
  <si>
    <t>เงินรับฝากเงินทุนโครงการเศรษฐกิจชุมชน</t>
  </si>
  <si>
    <t>เงินเดือน (ฝ่ายการเมือง)</t>
  </si>
  <si>
    <t>เงินเดือน (ฝ่ายประจำ)</t>
  </si>
  <si>
    <t>งานบริหารทั่วไป</t>
  </si>
  <si>
    <t>งานวางแผนสถิติและวิชาการ</t>
  </si>
  <si>
    <t>งานบริหารทั่วไปเกี่ยวกับการรักษาความสงบภายใน</t>
  </si>
  <si>
    <t>งานบริหารทั่วไปเกี่ยวกับการศึกษา</t>
  </si>
  <si>
    <t>งานบริหารทั่วไปเกี่ยวกับสาธารณสุข</t>
  </si>
  <si>
    <t>งานบริหารทั่วไปเกี่ยวกับสังคมสงเคราะห์</t>
  </si>
  <si>
    <t>งานบริหารทั่วไปเกี่ยวกับการสร้างความเข้มแข็งของชุมชน</t>
  </si>
  <si>
    <t>รวมจ่ายจากเงินอุดหนุนระบุวัตถุประสงค์/เฉพาะกิจ</t>
  </si>
  <si>
    <t>รายงานรายจ่ายในการดำเนินงานที่จ่ายจากเงินทุนสำรองเงินสะสม</t>
  </si>
  <si>
    <t>รายงานรายจ่ายในการดำเนินงานที่จ่ายจากเงินกู้</t>
  </si>
  <si>
    <t>รายละเอียดประกอบงบแสดงผลการดำเนินงานจ่ายจากเงินรายรับและเงินสะสม (2560)</t>
  </si>
  <si>
    <t>แหล่งงบประมาณ</t>
  </si>
  <si>
    <t>หน่วย : บาท</t>
  </si>
  <si>
    <t>หมายเหตุ  1  ค่าครุภัณฑ์</t>
  </si>
  <si>
    <t>เงิบงบประมาณ</t>
  </si>
  <si>
    <t>หมายเหตุ  2  ค่าที่ดินและสิ่งก่อสร้าง</t>
  </si>
  <si>
    <t>ก่อสร้างสิ่งสาธารณูปโภค</t>
  </si>
  <si>
    <t>บำรุงรักษาและปรับปรุงที่ดินและสิ่งก่อสร้าง</t>
  </si>
  <si>
    <t>องค์กการบริหารส่วนตำบลบ้านกอก  อำเภอจัตุรัส  จังหวัดชัยภูมิ</t>
  </si>
  <si>
    <t>ปี 2561</t>
  </si>
  <si>
    <t>ประเภท ออมทรัพย์ เลขที่ 318-1-55840-0</t>
  </si>
  <si>
    <t>ประเภท ออมทรัพย์ เลขที่ 981-4-52961-3</t>
  </si>
  <si>
    <t>ประเภท กระแสรายวัน เลขที่ 318-6-01052-7</t>
  </si>
  <si>
    <t>ประเภท ออมทรัพย์ เลขที่ 01112-2-54362-0</t>
  </si>
  <si>
    <t>ประเภท ออมทรัพย์ เลขที่ 01112-2-69027-8</t>
  </si>
  <si>
    <t>ประเภท ออมทรัพย์ เลขที่ 051110336529</t>
  </si>
  <si>
    <t>-</t>
  </si>
  <si>
    <t>องค์การบริหารส่วนตำบลบ้านกอก  อำเภอจัตุรัส  จังหวัดชัยภูมิ</t>
  </si>
  <si>
    <t>นางละมุน       บุญสม</t>
  </si>
  <si>
    <t>กลุ่มอาชีพเลี้ยงโคเนื้อ ต.บ้านกอก ม.2</t>
  </si>
  <si>
    <t>น.ส.สำราญ    สิงห์ลา</t>
  </si>
  <si>
    <t>นายอุบล       สิงห์ลา</t>
  </si>
  <si>
    <t>ส่งเสริมอาชีพเกษตรกรรมทำนาปลูกข้าว ม.4</t>
  </si>
  <si>
    <t>นายบรรจง     สงกอก</t>
  </si>
  <si>
    <t>เลี้ยงไก่พื้นเมือง ม.5</t>
  </si>
  <si>
    <t>ส่งเสริมกลุ่มเอกสารเกษตรเพื่อเพิ่มผลผลิต ม.5</t>
  </si>
  <si>
    <t>นายบุญช่วย   มาภักดี</t>
  </si>
  <si>
    <t>เพิ่มประสิทธิภาพผู้ปลูกมันสำปะหลัง ม.6</t>
  </si>
  <si>
    <t>นายวิศิษฐ์      พิมพา</t>
  </si>
  <si>
    <t>ส่งเสริมสนับสนุนปัจจัยการผลิตผู้ปลูกข้าว ม.6</t>
  </si>
  <si>
    <t>นางผาสุข       มาภักดี</t>
  </si>
  <si>
    <t>ส่งเสริมอาชีพดอกไม้ประดิษฐ์ ม.6</t>
  </si>
  <si>
    <t>นางลาวัลย์     มุ่งพันกลาง</t>
  </si>
  <si>
    <t>ส่งเสริมอาชีพปลูกพริก ม.7</t>
  </si>
  <si>
    <t>นางละม่อม     มาอ่อง</t>
  </si>
  <si>
    <t>ส่งเสริมอาชีพปลูกอ้อยส่งโรงงาน ม.7</t>
  </si>
  <si>
    <t>นายสมพงษ์    เวหน</t>
  </si>
  <si>
    <t>เลี้ยงโคเนื้อ ส่งเสริมอาชีพเลี้ยงโคเนื้อ ม.8</t>
  </si>
  <si>
    <t>นายสมบัติ     สีแดง</t>
  </si>
  <si>
    <t>ส่งเสริมอาชีพมันสำปะหลัง ม.9</t>
  </si>
  <si>
    <t>ส่งเสริมอาชีพเกษตรชาวไร่อ้อย ม.9</t>
  </si>
  <si>
    <t>นางหอมจันทร์   ชาตรี</t>
  </si>
  <si>
    <t>ส่งเสริมอาชีพปลูกข้าว ม.10</t>
  </si>
  <si>
    <t>นางเพียร      เป้พินิจ</t>
  </si>
  <si>
    <t>แปรรูปผลผลิตทางการเกษตร ม.11</t>
  </si>
  <si>
    <t>นางตรึงจิตร   น้อยวิเศษ</t>
  </si>
  <si>
    <t>ส่งเสริมอาชีพปลูกพริก ม.11</t>
  </si>
  <si>
    <t>น.ส.กาญจนา   เกิดบ้านกอก</t>
  </si>
  <si>
    <t>ส่งเสริมอาชีพปลูกพริก ม.12</t>
  </si>
  <si>
    <t>นายอนันต์     สิงห์ลา</t>
  </si>
  <si>
    <t>ส่งเสริมอาชีพเศรษฐกิจชุมชน (กลุ่มผู้เลี้ยงสัตว์) ม.13</t>
  </si>
  <si>
    <t>นางสุพัตตรา   มาภักดี</t>
  </si>
  <si>
    <t>นายสมพงษ์   ผิวรักษา</t>
  </si>
  <si>
    <t>นายบัณฑิต    ดีสีนู</t>
  </si>
  <si>
    <t>นายมะลิ       โพธิ์ทอง</t>
  </si>
  <si>
    <t>ส่งเสริมอาชีพเลี้ยงหมู บ้านหนองไผ่ ม.15</t>
  </si>
  <si>
    <t>ส่งเสริมอาชีพจักสานเชือกร่ม ม.15</t>
  </si>
  <si>
    <t>นายเด่นรัก     จ่าแก้ว</t>
  </si>
  <si>
    <t>ส่งเสริมอาชีพเลี้ยงวัว ม.16</t>
  </si>
  <si>
    <t>นายสมพร     นารถสมบูรณ์</t>
  </si>
  <si>
    <t>ส่งเสริมอาชีพเกษตรกรไร่มันสำปะหลัง ม.16</t>
  </si>
  <si>
    <t>นายสานิตย์    แดงสุวรรณ</t>
  </si>
  <si>
    <t>กลุ่มเกาตรกรรม บ้านโนนทอง (เศรษฐกิจชุมชนปลูกข้าว)</t>
  </si>
  <si>
    <t>องค์การบริหารส่วนตำบลบ้านกอก อำเภอจัตุรัส จังหวัดชัยภูมิ</t>
  </si>
  <si>
    <t>งบประมาณ</t>
  </si>
  <si>
    <t>สำรองจ่าย</t>
  </si>
  <si>
    <t>โครงการซ่อมแซมถนนเพื่อการเกษตรภายในหมู่บ้าน ม.5,9,10,15</t>
  </si>
  <si>
    <t>โครงการซ่อมแซมถนนเพื่อการเกษตรภายในหมู่บ้าน ม.4,11,13</t>
  </si>
  <si>
    <t>รายจ่ายเพื่อให้ได้มาซึ่งบริการ</t>
  </si>
  <si>
    <t>จ้างเหมาบริการทำความสะอาดอาคารสถานที่ราชการ</t>
  </si>
  <si>
    <t>จ้างเหมาบริการปฏิบัติงานรักษาความปลอดภัย</t>
  </si>
  <si>
    <t>บริหารทั่วไปเกี่ยว</t>
  </si>
  <si>
    <t>จ้างเหมาบริการบุคคลปฏิบัติงานรักำจัดสิ่งปฏิกูลมูลฝอยฯ</t>
  </si>
  <si>
    <t>กับสาธารณสุข</t>
  </si>
  <si>
    <t>จัดซื้อหนัสือพิมพ์ประจำหมู่บ้าน</t>
  </si>
  <si>
    <t>จัดซื้อหนัสือพิมพ์ประจำสำนักงาน</t>
  </si>
  <si>
    <t>ก่อสร้างสิ่งสาธารณูปการ</t>
  </si>
  <si>
    <t>โครงการก่อสร้างถนน คสล.เลียบห้วยกอก ม.1</t>
  </si>
  <si>
    <t>โครงการก่อสร้างถนน คสล.สายบ้านนายสมาน ชาลีเครือ ม.10</t>
  </si>
  <si>
    <t>โครงการก่อสร้างถนน คสล.สายบ้านนายขอด  ทองจำรูญ ม.4</t>
  </si>
  <si>
    <t>โครงการก่อสร้างถนน คสล.สายบ้านนายปรีชา- สายมัสยิด ม.2</t>
  </si>
  <si>
    <t>โครงการก่อสร้างถนน คสล.สายบ้านนางหนูนิต  ชาติเผือก ม.5</t>
  </si>
  <si>
    <t>โครงการก่อสร้างถนน คสล.สายสี่แยกบ้านนายประจวบ-บ้านนายหน่อน ม.9</t>
  </si>
  <si>
    <t>โครงการก่อสร้างถนน คสล.สายบ้านนายชำนาญ -บ้านนางแว่น ม.7</t>
  </si>
  <si>
    <t>โครงการก่อสร้างถนน คสล.สายหน้าบ้านนายสมศรี -บ้านนางสมพร ม.14</t>
  </si>
  <si>
    <t>โครงการก่อสร้างถนน คสล.สายหน้าบ้านนายสุเมธ -บ้านนายหนู ม.17</t>
  </si>
  <si>
    <t>โครงการก่อสร้างถนน คสล.สายหน้าบ้านน.ส.มาริน -บ้านนายโฮ่ ม.17</t>
  </si>
  <si>
    <t>โครงการก่อสร้างถนน คสล.สายหน้าบ้านนายทรงเดช -บ้านนายแดง ม.13</t>
  </si>
  <si>
    <t>โครงการก่อสร้างถนน คสล.สายหน้าบ้านนายอำนาจ -บ้านสง่า ม.6</t>
  </si>
  <si>
    <t>โครงการก่อสร้างวาท่อระบายน้ำสายบ้านนายณรงค์ -สระใหม่ ม.3</t>
  </si>
  <si>
    <t>ค่าใช้จ่ายในการประเมินความพึงพอใจ ของ อบต.บ้านกอก</t>
  </si>
  <si>
    <t>ที่ดินและสิ่งก่อสร้าง</t>
  </si>
  <si>
    <t xml:space="preserve">                    รายจ่ายค้างจ่ายเหลือจ่าย</t>
  </si>
  <si>
    <t xml:space="preserve">                    รับเงินคืนเบี้ยยังชีพผู้สูงอายุและผู้พิการ ปี 2559</t>
  </si>
  <si>
    <t xml:space="preserve">                    รับเงินคืนตอบแทนวิทยากรฝึก อบรม อปพร.ปี 2559</t>
  </si>
  <si>
    <t xml:space="preserve">                    รับเงินเพิ่มภาษีปีก่อน</t>
  </si>
  <si>
    <t xml:space="preserve">                    รับเงินประกันสัญญา (เนื่องจากผู้รับจ้างไม่มารับเช็ค)</t>
  </si>
  <si>
    <t xml:space="preserve">                   ลูกหนี้อื่น ๆ (นายจรัล   ชาลีวรรณ)</t>
  </si>
  <si>
    <t xml:space="preserve">                   รับเงินคืนค่ามัดจำรังวัดที่ดินสาธารณประโยชน์</t>
  </si>
  <si>
    <t xml:space="preserve">                   รับเงินคืนค่าตอบแทนอื่นเป็นกรณีพิเศษ (โบนัส)</t>
  </si>
  <si>
    <t>เงินสะสม  1  ตุลาคม 2560</t>
  </si>
  <si>
    <t xml:space="preserve">                   รับเงินค่าใช้จ่ายในการจัดเก็บภาษีบำรุงท้องที่ 5%</t>
  </si>
  <si>
    <t>2.  ลูกหนี้ค่าภาษี</t>
  </si>
  <si>
    <t>3.  ลูกหนี้อื่นๆ (นายจรัล  ชาลีวรรณ)</t>
  </si>
  <si>
    <t>4.  เงินสะสมที่สามารถนำไปใช้ได้</t>
  </si>
  <si>
    <t>จำนวนที่ได้รับอนุมัติ</t>
  </si>
  <si>
    <t>โครงการวางท่อระบายน้ำเหลี่ยมคอนกรรีตเสริมเหล็ก ม.11</t>
  </si>
  <si>
    <t>โครงการปรับปรุงซ่อมแซมถนนเพื่อการเกษตร ม. 2</t>
  </si>
  <si>
    <t>โครงการปรับปรุงซ่อมแซมถนนเพื่อการเกษตร ม. 3</t>
  </si>
  <si>
    <t>โครงการปรับปรุงซ่อมแซมถนนเพื่อการเกษตร ม. 4</t>
  </si>
  <si>
    <t>โครงการปรับปรุงซ่อมแซมถนนเพื่อการเกษตร ม. 5</t>
  </si>
  <si>
    <t>โครงการปรับปรุงซ่อมแซมถนนเพื่อการเกษตร ม. 6</t>
  </si>
  <si>
    <t>โครงการปรับปรุงซ่อมแซมถนนเพื่อการเกษตร ม. 7</t>
  </si>
  <si>
    <t>โครงการปรับปรุงซ่อมแซมถนนเพื่อการเกษตร ม. 8</t>
  </si>
  <si>
    <t>โครงการปรับปรุงซ่อมแซมถนนเพื่อการเกษตร ม. 9</t>
  </si>
  <si>
    <t>โครงการปรับปรุงซ่อมแซมถนนเพื่อการเกษตร ม. 10</t>
  </si>
  <si>
    <t>โครงการปรับปรุงซ่อมแซมถนนเพื่อการเกษตร ม. 11</t>
  </si>
  <si>
    <t>โครงการปรับปรุงซ่อมแซมถนนเพื่อการเกษตร ม. 12</t>
  </si>
  <si>
    <t>โครงการปรับปรุงซ่อมแซมถนนเพื่อการเกษตร ม. 13</t>
  </si>
  <si>
    <t>โครงการปรับปรุงซ่อมแซมถนนเพื่อการเกษตร ม. 14</t>
  </si>
  <si>
    <t>โครงการปรับปรุงซ่อมแซมถนนเพื่อการเกษตร ม. 15</t>
  </si>
  <si>
    <t>โครงการปรับปรุงซ่อมแซมถนนเพื่อการเกษตร ม. 16</t>
  </si>
  <si>
    <t>โครงการปรับปรุงซ่อมแซมถนนเพื่อการเกษตร ม. 17</t>
  </si>
  <si>
    <t>โครงการปรับปรุงซ่อมแซมถนนเพื่อการเกษตร ม.7 (สระสี่เหลี่ยม-โกรกตาแป้น)</t>
  </si>
  <si>
    <t>โครงการปรับปรุงซ่อมแซมถนนเพื่อการเกษตร ม.15 (หนองไผ่-โกรกตาแป้น)</t>
  </si>
  <si>
    <t>โครงการปรับปรุงซ่อมแซมถนนเพื่อการเกษตร ม.16 (ท่าลึก-ทุ่งสว่าง)</t>
  </si>
  <si>
    <t>โครงการซ่อมสร้างผิวทางแอสฟัสติกคอนกรีต ม.14</t>
  </si>
  <si>
    <t>โครงการซ่อมสร้างผิวทางแอสฟัสติกคอนกรีต ม.9</t>
  </si>
  <si>
    <t>โครงการก่อสร้างถนนลาดยาง ม.13 (บ้านนายสุภีร์ - แยกไร่นายประชัน)</t>
  </si>
  <si>
    <t>โครงการก่อสร้างถนนลาดยาง ม.11 (บ้านนายสมใจ - นายหนูกัน)</t>
  </si>
  <si>
    <t>โครงการก่อสร้างประปาหอถังสูง ขนาดเล็กคุ้มบาลาน ม.5</t>
  </si>
  <si>
    <t>องค์การบริหารส่วนตำบลบ้านกอก</t>
  </si>
  <si>
    <t>รายงานรายจ่ายในการดำเนินงานที่จ่ายจากเงินรายรับตามแผนงาน......งบกลาง.......</t>
  </si>
  <si>
    <t xml:space="preserve">งบกลาง         </t>
  </si>
  <si>
    <t>รายงานรายจ่ายในการดำเนินงานที่จ่ายจากเงินรายรับตามแผนงาน......บริหารงานทั่วไป.......</t>
  </si>
  <si>
    <t>เงินเดือน  (ฝ่ายการเมือง)</t>
  </si>
  <si>
    <t xml:space="preserve">เงินเดือน (ฝ่ายประจำ) </t>
  </si>
  <si>
    <t xml:space="preserve">ค่าตอบแทน  </t>
  </si>
  <si>
    <t xml:space="preserve">ค่าใช้สอย       </t>
  </si>
  <si>
    <t xml:space="preserve">ค่าวัสดุ            </t>
  </si>
  <si>
    <t xml:space="preserve">ค่าครุภัณฑ์  </t>
  </si>
  <si>
    <t xml:space="preserve">ค่าที่ดินและสิ่งก่อสร้าง  </t>
  </si>
  <si>
    <t xml:space="preserve">เงินอุดหนุน </t>
  </si>
  <si>
    <t>รายงานรายจ่ายในการดำเนินงานที่จ่ายจากเงินรายรับตามแผนงาน......การรักษาความสงบภายใน.......</t>
  </si>
  <si>
    <t>รายงานรายจ่ายในการดำเนินงานที่จ่ายจากเงินรายรับตามแผนงาน......การศึกษา.......</t>
  </si>
  <si>
    <t>รายงานรายจ่ายในการดำเนินงานที่จ่ายจากเงินรายรับตามแผนงาน......สาธารณสุข.......</t>
  </si>
  <si>
    <t>งานป้องกันและแก้ไขโรคติดต่อ</t>
  </si>
  <si>
    <t>รายงานรายจ่ายในการดำเนินงานที่จ่ายจากเงินรายรับตามแผนงาน......สังคมสงเคราะห์.......</t>
  </si>
  <si>
    <t>งานสวัสดิการสังคมและสงเคาะห์</t>
  </si>
  <si>
    <t>รายงานรายจ่ายในการดำเนินงานที่จ่ายจากเงินรายรับตามแผนงาน......เคหะและชุมชน.......</t>
  </si>
  <si>
    <t>งานบริหารทั่วไปเกี่ยวกับเคหะชุมชน</t>
  </si>
  <si>
    <t>รายงานรายจ่ายในการดำเนินงานที่จ่ายจากเงินรายรับตามแผนงาน......สร้างความเข้มแข็งของชุมชน.......</t>
  </si>
  <si>
    <t>งานส่งเสริมและสนับสนุนความเข้มแข็งชุมชน</t>
  </si>
  <si>
    <t>รายงานรายจ่ายในการดำเนินงานที่จ่ายจากเงินรายรับตามแผนงาน......การศาสนาวัฒนธรรมและนันทนาการ.......</t>
  </si>
  <si>
    <t>รายงานรายจ่ายในการดำเนินงานที่จ่ายจากเงินรายรับตามแผนงาน......การเกษตร.......</t>
  </si>
  <si>
    <t>องค์การบริการส่วนตำบลบ้านกอก</t>
  </si>
  <si>
    <t xml:space="preserve">งบประมาณ  </t>
  </si>
  <si>
    <t>งบแสดงผลการดำเนินงานที่จ่ายจากเงินรายรับและเงินสะสม</t>
  </si>
  <si>
    <t>รายการ</t>
  </si>
  <si>
    <t xml:space="preserve">รายจ่ายอื่น </t>
  </si>
  <si>
    <t>เงินอุดหนุน (หมายเหตุ 8)</t>
  </si>
  <si>
    <t>รายได้จากทรัพย์สิน</t>
  </si>
  <si>
    <t>ภาษีที่ได้รับจัดสรร</t>
  </si>
  <si>
    <t>เงินอุดหนุนระบุวัตถุประสงค์</t>
  </si>
  <si>
    <t xml:space="preserve">งบกลาง  </t>
  </si>
  <si>
    <t xml:space="preserve">ค่าตอบแทน </t>
  </si>
  <si>
    <t xml:space="preserve">ค่าใช้สอย </t>
  </si>
  <si>
    <t xml:space="preserve">ค่าวัสดุ  </t>
  </si>
  <si>
    <t xml:space="preserve">ค่าสาธารณูปโภค </t>
  </si>
  <si>
    <t>งบรายรับ - รายจ่าย</t>
  </si>
  <si>
    <t>ห้ามลบ ลงข้อมูลแล้ว</t>
  </si>
  <si>
    <t>รับจริง</t>
  </si>
  <si>
    <t>+</t>
  </si>
  <si>
    <t>สูง/ต่ำ</t>
  </si>
  <si>
    <t>ก.รายได้ภาษีอากร</t>
  </si>
  <si>
    <t>1.หมวดภาษีอากร</t>
  </si>
  <si>
    <t xml:space="preserve">1.1 ภาษีบำรุงท้องที่  </t>
  </si>
  <si>
    <t xml:space="preserve"> +</t>
  </si>
  <si>
    <t>1.2 ภาษีโรงเรือนและที่ดิน</t>
  </si>
  <si>
    <t>1.3 ภาษีป้าย</t>
  </si>
  <si>
    <t>รวมรายได้ที่อบต.จัดเก็บเอง</t>
  </si>
  <si>
    <t>1.4 ภาษี และค่าธรรมเนียมรถยนต์หรือล้อเลื่อน</t>
  </si>
  <si>
    <t>1.5 ภาษีมูลค่าเพิ่มตาม พ.ร.บ. กำหนดแผนฯ</t>
  </si>
  <si>
    <t>1.6 ภาษีมูลค่าเพิ่มตาม พ.ร.บ.จัดสรรรายได้ฯ (1 ใน 9)</t>
  </si>
  <si>
    <t>1.7 ภาษีธุรกิจเฉพาะ</t>
  </si>
  <si>
    <t>1.8 ภาษีสุรา</t>
  </si>
  <si>
    <t>1.9 ภาษีสรรพสามิต</t>
  </si>
  <si>
    <t>1.10 ค่าภาคหลวงแร่</t>
  </si>
  <si>
    <t>1.11 ค่าภาคหลวงปิโตรเลี่ยม</t>
  </si>
  <si>
    <t xml:space="preserve"> -</t>
  </si>
  <si>
    <t>1.12 ค่าธรรมเนียมจดทะเบียนสิทธิและนิติกรรมที่ดิน</t>
  </si>
  <si>
    <t>1.13 ค่าธรรมเนียมและค่าใช้น้ำบาดาล</t>
  </si>
  <si>
    <t>รวมรายได้ที่รัฐบาลจัดสรรให้</t>
  </si>
  <si>
    <t>ข.รายได้ที่มิใช่ภาษีอากร</t>
  </si>
  <si>
    <t>1. หมวดค่าธรรมเนียม ค่าปรับและใบอนุญาต</t>
  </si>
  <si>
    <t>1.1 ค่าธรรมเนียมเกี่ยวกับใบอนุญาตการพนัน</t>
  </si>
  <si>
    <t>1.2 ค่าธรรมเนียมเกี่ยวกับการควบคุมอาคาร</t>
  </si>
  <si>
    <t>1.3 ค่าธรรมเนียมจดทะเบียนพาณิชย์</t>
  </si>
  <si>
    <t>1.4 ค่าธรรมเนียมกำจัดขยะมูลฝอย</t>
  </si>
  <si>
    <t>1.5 ค่าธรรมเนียมอื่น ๆ</t>
  </si>
  <si>
    <t>1.6 ค่าปรับผู้กระทำผิดความผิดตาม พ.ร.บ. จราจรฯ</t>
  </si>
  <si>
    <t xml:space="preserve">1.7 ค่าปรับการผิดสัญญา  </t>
  </si>
  <si>
    <t>2.หมวดรายได้จากทรัพย์สิน</t>
  </si>
  <si>
    <t xml:space="preserve">2.1 ดอกเบี้ยเงินฝากธนาคาร </t>
  </si>
  <si>
    <t>3.หมวดรายได้จากสาธารณูปโภคและการพาณิชย์</t>
  </si>
  <si>
    <t xml:space="preserve">3.1 รายได้จากน้ำประปา  </t>
  </si>
  <si>
    <t>4. หมวดรายได้เบ็ดเตล็ด</t>
  </si>
  <si>
    <t>4.1 ค่าขายแบบแปลน</t>
  </si>
  <si>
    <t xml:space="preserve">4.2 รายได้เบ็ดเตล็ดอื่น ๆ  </t>
  </si>
  <si>
    <t>5. หมวดรายได้จากทุน</t>
  </si>
  <si>
    <t>5.1 ค่าขายทอดตลาดจากทรัพย์สิน</t>
  </si>
  <si>
    <t>ค.เงินช่วยเหลือ</t>
  </si>
  <si>
    <t>1. หมวดเงินอุดหนุน</t>
  </si>
  <si>
    <t>1.1 เงินอุดหนุนทั่วไป</t>
  </si>
  <si>
    <t>1.2 เงินอุดหนุนทั่วไประบุวัตถุประสงค์</t>
  </si>
  <si>
    <t>1.3 เงินอุดหนุนเฉพาะกิจ</t>
  </si>
  <si>
    <t>รวมรายรับทั้งสิ้น</t>
  </si>
  <si>
    <t>ก.รายจ่ายประจำ</t>
  </si>
  <si>
    <t>จ่ายจริง</t>
  </si>
  <si>
    <t>1. รายจ่ายงบกลาง</t>
  </si>
  <si>
    <t>รวมรายจ่ายงบกลาง</t>
  </si>
  <si>
    <t>2.หมวดเงินเดือน(ฝ่ายการเมือง)</t>
  </si>
  <si>
    <t>2.1 เงินเดือน /รองนายก</t>
  </si>
  <si>
    <t>2.2 เงินค่าตอบแทนประจำตำแหน่งนายก/รองนายก</t>
  </si>
  <si>
    <t>2.3 เงินค่าตอบแทนพิเศษนายก/รองนายก</t>
  </si>
  <si>
    <t xml:space="preserve">2.4 เงินเดือน/ค่าตอบแทนเลขานุการนายกฯ </t>
  </si>
  <si>
    <t>2.5 เงินค่าตอบแทนสมาชิก สภา อปท.</t>
  </si>
  <si>
    <t>รวมหมวดเงินเดือน (ฝ่ายการเมือง)</t>
  </si>
  <si>
    <t>3.หมวดเงินเดือน(ฝ่ายประจำ)</t>
  </si>
  <si>
    <t>3.1 เงินเดือนพนักงานส่วนตำบล</t>
  </si>
  <si>
    <t>3.2 เงินเพิ่มต่างๆ ของพนักงาน (ค่าตอบแทนพิเศษปลัด)</t>
  </si>
  <si>
    <t>3.3 เงินประจำตำแหน่ง</t>
  </si>
  <si>
    <t>3.4 ค่าตอบแทนพนักงานจ้าง</t>
  </si>
  <si>
    <t>3.5 เงินเพิ่มค่าครองชีพชั่วคราวของพนักงานจ้างตามภารกิจ</t>
  </si>
  <si>
    <t>รวมหมวดเงินเดือน (ฝ่ายประจำ)</t>
  </si>
  <si>
    <t>4. หมวดค่าตอบแทน ใช้สอยและวัสดุ</t>
  </si>
  <si>
    <t>4.1 ค่าตอบแทน</t>
  </si>
  <si>
    <t xml:space="preserve"> - ค่าตอบแทนผู้ปฏิบัติราชการอันเป็นประโยชน์ต่อองค์กรปกครองส่วนท้องถิ่น</t>
  </si>
  <si>
    <t xml:space="preserve"> - ค่าตอบแทนการปฏิบัติงานนอกเวลา</t>
  </si>
  <si>
    <t xml:space="preserve"> - ค่าเช่าบ้าน</t>
  </si>
  <si>
    <t xml:space="preserve"> - เงินช่วยเหลือการศึกษาบุตร</t>
  </si>
  <si>
    <t>รวมหมวดค่าตอบแทน</t>
  </si>
  <si>
    <t>4.2 ค่าใช้สอย</t>
  </si>
  <si>
    <t xml:space="preserve"> - รายจ่ายเพื่อให้ได้มาซึ่งบริการ</t>
  </si>
  <si>
    <t xml:space="preserve"> - รายจ่ายเกี่ยวกับการรับรองและพิธีการ</t>
  </si>
  <si>
    <t xml:space="preserve"> คชจ.ในการเดินทางไปราชการ</t>
  </si>
  <si>
    <t xml:space="preserve"> ค่าบำรุงรักษาและซ่อมแซม</t>
  </si>
  <si>
    <t>รวมหมวดค่าใช้สอย</t>
  </si>
  <si>
    <t>4.3 หมวดค่าวัสดุ</t>
  </si>
  <si>
    <t>รวมหมวดค่าวัสดุ</t>
  </si>
  <si>
    <t>5. หมวดค่าสาธารณูปโภค</t>
  </si>
  <si>
    <t>รวมหมวดค่าสาธารณูปโภค</t>
  </si>
  <si>
    <t>6. หมวดเงินอุดหนุน</t>
  </si>
  <si>
    <t xml:space="preserve"> - อุดหนุนโรงเรียนบ้านมะเกลือโนนทอง</t>
  </si>
  <si>
    <t xml:space="preserve"> - อุดหนุนโรงเรียนบ้านหลุบงิ้ว</t>
  </si>
  <si>
    <t xml:space="preserve"> - อุดหนุนโรงเรียนบ้านสระสี่เหลี่ยม</t>
  </si>
  <si>
    <t xml:space="preserve"> - อุดหนุนโรงเรียนบ้านทุ่งสว่าง</t>
  </si>
  <si>
    <t xml:space="preserve"> - อุดหนุนกลุ่มองค์กรสตรีตำบลบ้านกอก</t>
  </si>
  <si>
    <t>รวมหมวดเงินอุดหนุน</t>
  </si>
  <si>
    <t>7. หมวดรายจ่ายอื่น</t>
  </si>
  <si>
    <t xml:space="preserve"> รวมหมวดรายจ่ายอื่น</t>
  </si>
  <si>
    <t>2. รายจ่ายเพื่อการลงทุน</t>
  </si>
  <si>
    <t>2.1 หมวดค่าครุภัณฑ์</t>
  </si>
  <si>
    <t xml:space="preserve"> - ค่าครุภัณฑ์สำนักงาน</t>
  </si>
  <si>
    <t xml:space="preserve"> - ค่าครุภัณฑ์คอมพิวเตอร์</t>
  </si>
  <si>
    <t>รวมหมวดค่าครุภัณฑ์</t>
  </si>
  <si>
    <t xml:space="preserve"> - ค่าที่ดินและสิ่งก่อสร้าง </t>
  </si>
  <si>
    <t xml:space="preserve"> - ค่าก่อสร้างสาธารณูปโภค</t>
  </si>
  <si>
    <t>รวมหมวดค่าที่ดินและสิ่งก่อสร้าง</t>
  </si>
  <si>
    <t>รวมรายจ่ายทั้งสิ้น</t>
  </si>
  <si>
    <t>รับจริงสูงกว่าจ่ายจริง</t>
  </si>
  <si>
    <t xml:space="preserve">รายจ่ายจริง ประกอบงบทดลองและรายรับ - รายจ่ายเงินสด                                                                                                                                                                                               </t>
  </si>
  <si>
    <t>หน่วยงาน</t>
  </si>
  <si>
    <t>ถึงปัจจุบัน</t>
  </si>
  <si>
    <t xml:space="preserve">หมวดรายจ่ายงบกลาง        </t>
  </si>
  <si>
    <t>1. เงินกองทุนประกันสังคม</t>
  </si>
  <si>
    <t>สำนักปลัด</t>
  </si>
  <si>
    <t>แผนงานงบกลาง  งาน งบกลาง</t>
  </si>
  <si>
    <t>2. เบี้ยยังชีพผู้สูงอายุ</t>
  </si>
  <si>
    <t xml:space="preserve">                                                ''</t>
  </si>
  <si>
    <t>3. เบี้ยยังชีพผู้พิการ</t>
  </si>
  <si>
    <t>4. เบี้ยยังชีพผู้ป่วยเอดส์</t>
  </si>
  <si>
    <t>5. เงินสำรองจ่าย</t>
  </si>
  <si>
    <t>6. รายจ่ายตามข้อผูกพัน (สมทบกองทุนหลักประกันสุขภาพ (สปสช.))</t>
  </si>
  <si>
    <t>7. เงินช่วยเหลือเงินกองทุนบำเหน็จบำนาญของข้าราชการส่วนท้องถิ่น (กบท.)</t>
  </si>
  <si>
    <t>หมวดรายจ่ายงบกลางทั้งสิ้น</t>
  </si>
  <si>
    <t xml:space="preserve">    หมวดเงินเดือน (ฝ่ายการเมือง)    </t>
  </si>
  <si>
    <t>1. เงินเดือน /รองนายก</t>
  </si>
  <si>
    <t>แผนงานบริหารงานทั่วไป งานบริหารงานทั่วไป</t>
  </si>
  <si>
    <t>2. เงินค่าตอบแทนประจำตำแหน่งนายก/รองนายก</t>
  </si>
  <si>
    <t>''</t>
  </si>
  <si>
    <t>3. เงินค่าตอบแทนพิเศษนายก/รองนายก</t>
  </si>
  <si>
    <t xml:space="preserve">4. เงินเดือน/ค่าตอบแทนเลขานุการนายกฯ </t>
  </si>
  <si>
    <t>5. เงินค่าตอบแทนสมาชิก สภา อปท.</t>
  </si>
  <si>
    <t xml:space="preserve">       เงินเดือน(ฝ่ายประจำ)</t>
  </si>
  <si>
    <t>1. เงินเดือนพนักงานส่วนตำบล</t>
  </si>
  <si>
    <t>2. เงินเพิ่มต่างๆ ของพนักงาน (ค่าตอบแทนพิเศษปลัด)</t>
  </si>
  <si>
    <t>3. เงินประจำตำแหน่ง</t>
  </si>
  <si>
    <t>รวมเงินเดือน</t>
  </si>
  <si>
    <t>4.. ค่าจ้างพนักงานจ้างตามภารกิจ</t>
  </si>
  <si>
    <t>5. เงินเพิ่มต่างๆ ของพนักงานจ้างตามภารกิจ</t>
  </si>
  <si>
    <t>รวมค่าจ้างชั่วคราว</t>
  </si>
  <si>
    <t>1.  เงินเดือนพนักงาน</t>
  </si>
  <si>
    <t>กองคลัง</t>
  </si>
  <si>
    <t>แผนงานบริหารงานทั่วไป งานบริหารงานคลัง</t>
  </si>
  <si>
    <t>2. เงินเพิ่มต่าง ๆ ของพนักงาน</t>
  </si>
  <si>
    <t xml:space="preserve"> "</t>
  </si>
  <si>
    <t>3. เงินประจำตำแหน่งผู้อำนวยการกองคลัง</t>
  </si>
  <si>
    <t>4. ค่าจ้างพนักงานจ้างตามภารกิจ</t>
  </si>
  <si>
    <t>5. เงินเพิ่มต่างๆ ของพนักงานจ้าง</t>
  </si>
  <si>
    <t>กองช่าง</t>
  </si>
  <si>
    <t>แผนงานเคหะและชุมชน งานบริหารทั่วไปเกี่ยวกับเคหะและชุมชน</t>
  </si>
  <si>
    <t>"</t>
  </si>
  <si>
    <t>กองการศึกษา</t>
  </si>
  <si>
    <t>แผนงานการศึกษา งานบริหารทั่วไปเกี่ยวกับการศึกษา</t>
  </si>
  <si>
    <t>2. เงินประจำตำแหน่งผู้อำนวยการกองการศึกษา</t>
  </si>
  <si>
    <t>ศาสนาและวัฒนธรรม</t>
  </si>
  <si>
    <t>3.ค่าจ้างพนักงานจ้าง</t>
  </si>
  <si>
    <t>ส่วนการศึกษาฯ</t>
  </si>
  <si>
    <t>แผนงานการศึกษา งานระดับก่อนวัยเรียน และประถมศึกษา</t>
  </si>
  <si>
    <t>2. เงินวิทยฐานะ</t>
  </si>
  <si>
    <t>2. ค่าจ้างพนักงานจ้าง</t>
  </si>
  <si>
    <t>3. เงินเพิ่มต่างๆ ของพนักงานจ้าง</t>
  </si>
  <si>
    <t>1.เงินเดือนพนักงาน</t>
  </si>
  <si>
    <t>กองสาธารณสุข</t>
  </si>
  <si>
    <t xml:space="preserve">2.เงินประจำตำแหน่ง </t>
  </si>
  <si>
    <t>1. เงินเดือนพนักงาน</t>
  </si>
  <si>
    <t>กองสวัสดิการ</t>
  </si>
  <si>
    <t>แผนงานสังคมสงเคราะห์ งานบริหารทั่วไปเกี่ยวกับสังคมสงเคราะห์</t>
  </si>
  <si>
    <t>2. เงินประจำตำแหน่ง</t>
  </si>
  <si>
    <t>สังคม</t>
  </si>
  <si>
    <t>3. ค่าจ้างพนักงานจ้าง</t>
  </si>
  <si>
    <t>4. เงินเพิ่มต่างๆ ของพนักงานจ้าง</t>
  </si>
  <si>
    <t>กองส่งเสริม</t>
  </si>
  <si>
    <t>แผนงานการเกษตร งานส่งเสริมการเกษตร</t>
  </si>
  <si>
    <t>4. เงินเพิ่มต่างๆของพนักงานจ้าง</t>
  </si>
  <si>
    <t xml:space="preserve">    หมวดเงินเดือนทั้งสิ้น    </t>
  </si>
  <si>
    <t>หมวดค่าตอบแทน</t>
  </si>
  <si>
    <t xml:space="preserve">1.  ค่าตอบแทนผู้ปฏิบัติราชการอันเป็นประโยชน์แก่ อปท.   </t>
  </si>
  <si>
    <t>แผนงานบริหารงานทั่วไป  งานบริหารทั่วไป</t>
  </si>
  <si>
    <t>2. ค่าตอบแทนการปฏิบัติงานนอกเวลา</t>
  </si>
  <si>
    <t>3.  ค่าเช่าบ้าน</t>
  </si>
  <si>
    <t>4.  เงินช่วยเหลือการศึกษาบุตร</t>
  </si>
  <si>
    <t>แผนงานรักษาความสงบภายใน งานป้องกันภัยฝ่ายพลเรือนฯ</t>
  </si>
  <si>
    <t>1. ค่าตอบแทนผู้ปฏิบัติราชการอันเป็นประโยชน์แก่องค์กรปกครองส่วนท้องถิ่น</t>
  </si>
  <si>
    <t>2. ค่าตอบแทนการปฏิบัติงานนอกเวลาราชการ</t>
  </si>
  <si>
    <t>2. ค่าตอบแทนนอกเวลาราชการ</t>
  </si>
  <si>
    <t>3. ค่าเช่าบ้าน</t>
  </si>
  <si>
    <t>4. เงินช่วยเหลือการศึกษาบุตร</t>
  </si>
  <si>
    <t>ศาสนา และ</t>
  </si>
  <si>
    <t>3. ค่าช่วยเหลือการศึกษาบุตร</t>
  </si>
  <si>
    <t>วัฒนธรรม</t>
  </si>
  <si>
    <t>แผนงาน สาธารณสุข งานบริหารทั่วไปเกี่ยวกับสาธารณสุข</t>
  </si>
  <si>
    <t>4. ค่าเบี้ยประชุม</t>
  </si>
  <si>
    <t xml:space="preserve">    หมวดค่าตอบแทนทั้งสิ้น    </t>
  </si>
  <si>
    <t>หมวดค่าใช้สอย</t>
  </si>
  <si>
    <t>1.  รายจ่ายเพื่อให้ได้มาซึ่งการบริการ</t>
  </si>
  <si>
    <t>2. รายจ่ายเกี่ยวกับการรับรองพิธีการ</t>
  </si>
  <si>
    <t>3. รายจ่ายเกี่ยวเนื่องกับการปฏิบัติราชการที่ไม่เข้าลักษณะรายจ่ายหมวดอื่นๆ</t>
  </si>
  <si>
    <t xml:space="preserve">   3.1 ค่าใช้จ่ายในการเดินทางไปราชการ (ค่าเดินทาง)ฯ</t>
  </si>
  <si>
    <t xml:space="preserve">   3.2 ค่าใช้จ่ายในการออกเอกสารสิทธิ์ที่ดิน โอนที่ดินฯ</t>
  </si>
  <si>
    <t xml:space="preserve">   3.3 คชจ.ในการเลือกตั้ง คชจ.สำหรับดำเนินการเกี่ยวกับการเลือกตั้งฯ</t>
  </si>
  <si>
    <t xml:space="preserve">4. รายจ่ายเพื่อบำรุงรักษาหรือซ่อมแซมทรัพย์สิน </t>
  </si>
  <si>
    <t>1.รายจ่ายเกี่ยวกับการรับรองและพิธีการ</t>
  </si>
  <si>
    <t>ผง.รักษาความสงบภายใน ง.ป้องกันภัยฝ่ายพลเรือนและระงับอัคคีภัย</t>
  </si>
  <si>
    <t xml:space="preserve">   1.2  ค่าใช้จ่ายโครงการจัดซื้อน้ำยาเคมีดับเพลิง</t>
  </si>
  <si>
    <t>ผง.บริหารทั่วไป  ง. บริหารงานคลัง</t>
  </si>
  <si>
    <t>2. รายจ่ายเกี่ยวเนื่องกับการปฎิบัติราชการที่ไม่เข้าลักษณะรายจ่ายหมวดอื่นๆ</t>
  </si>
  <si>
    <t xml:space="preserve">   2.2 คชจ.โครงการปรับปรุงการจัดทำแผนที่ภาษีและทะเบียนทรัพย์สินฯ</t>
  </si>
  <si>
    <t>3.  รายจ่ายเพื่อบำรุงรักษาหรือซ่อมแซมทรัพย์สิน</t>
  </si>
  <si>
    <t>1. รายจ่ายเพื่อให้ได้มาซึ่งบริการ</t>
  </si>
  <si>
    <t>2. รายจ่ายเกี่ยวกับการรับรองและพิธีการ</t>
  </si>
  <si>
    <t>3. รายจ่ายเกี่ยวกับการปฏิบัติราชการที่ไม่เข้าลักษณะรายจ่ายหมวดอื่น</t>
  </si>
  <si>
    <t>1. รายจ่ายเกี่ยวเนื่องกัการปฏิบัติราชการที่ไม่เข้าลักษณะรายจ่ายหมวดอื่นๆ</t>
  </si>
  <si>
    <t xml:space="preserve">   1.1 โครงการสนับสนุนค่าใช้จ่ายการบริหารสถานศึกษา (อาหารกลางวัน)</t>
  </si>
  <si>
    <t xml:space="preserve">   1.4 ค่าใช้จ่ายในการเดินทางไปราชการ (ค่าเดินทาง)ฯ</t>
  </si>
  <si>
    <t>2. รายจ่ายเพื่อบำรุงรักษาหรือซ่อมแซมทรัพย์สิน</t>
  </si>
  <si>
    <t>แผนงานการศาสนา วัฒนธรรม และนันทนาการ</t>
  </si>
  <si>
    <t xml:space="preserve">   1.1 โครงการแข่งขันกีฬาต้านยาเสพติด </t>
  </si>
  <si>
    <t>ศาสนาฯ</t>
  </si>
  <si>
    <t>งานกีฬา และนันทนาการ</t>
  </si>
  <si>
    <t>1. รายจ่ายเกี่ยวกับการรับรองและพิธีการ</t>
  </si>
  <si>
    <t>2. รายจ่ายเกี่ยวเนื่องกัการปฏิบัติราชการที่ไม่เข้าลักษณะรายจ่ายหมวดอื่นๆ</t>
  </si>
  <si>
    <t xml:space="preserve">  2.1 โครงการจัดงานประเพณีสงกรานต์</t>
  </si>
  <si>
    <t xml:space="preserve">  2.2 โครงการส่งเสริมและสืบสานประเพณีลอยกระทง</t>
  </si>
  <si>
    <t xml:space="preserve">  2.3 โครงการส่งเสริมพระพุทธศาสนาเนื่องในเทศกาลเข้าพรรษา</t>
  </si>
  <si>
    <t>2.  รายจ่ายเกี่ยวเนื่องกับการปฎิบัติราชการที่ไม่เข้าลักษณะรายจ่ายหมวดอื่นๆ</t>
  </si>
  <si>
    <t xml:space="preserve">   2.1 ค่าใช้จ่ายในการเดินทางไปราชการ (ค่าเดินทาง)ฯ</t>
  </si>
  <si>
    <t>แผนงานเคหะและชุมชน งานไฟฟ้า ถนน</t>
  </si>
  <si>
    <t>แผนงานเคหะและชุมชน งานสวนสาธารณะ</t>
  </si>
  <si>
    <t>แผนงานเคหะและชุมชน งานกำจัดขยะมูลฝอยและสิ่งปฏิกูล</t>
  </si>
  <si>
    <t>3. รายจ่ายเพื่อบำรุงรักษาหรือซ่อมแซมทรัพย์สิน</t>
  </si>
  <si>
    <t>1.ค่ารายจ่ายเพื่อให้ได้มาซึ่งบริการ</t>
  </si>
  <si>
    <t>แผนงาน สาธารณสุข งานบริหารทั่วไปเกี่บวกับสาธารณสุข</t>
  </si>
  <si>
    <t>2.ค่ารายจ่ายเกี่ยวกับการรับรองและพิธีการ</t>
  </si>
  <si>
    <t>3.รายจ่ายเกี่ยวเนื่องกับการปฏิบัติราชการที่ไม่เข้าลักษณะรายจ่ายหมวดอื่นๆ</t>
  </si>
  <si>
    <t xml:space="preserve">  3.1 คชจ.ในการรณรงค์และการป้องกันให้ความรู้เรื่องโรคเอดส์</t>
  </si>
  <si>
    <t xml:space="preserve">  3.2 คชจ.ในการรณรงค์และป้องกันโรคพิษสุนัขบ้า</t>
  </si>
  <si>
    <t xml:space="preserve">   3.4 ค่าใช้จ่ายในการเดินทางไปราชการ (ค่าเดินทาง)ฯ</t>
  </si>
  <si>
    <t>4.ค่าบำรุงรักษาและซ่อมแซมทรัพย์สิน</t>
  </si>
  <si>
    <t>รวมงานบริหารงานทั่วไปเกี่ยวกับสาธารณสุข</t>
  </si>
  <si>
    <t>3. รายจ่ายเกี่ยวกับการปฏิบัติราชการที่ไม่เข้าลักษณะรายจ่ายหมวดอื่นๆ</t>
  </si>
  <si>
    <t>1. รายจ่ายเกี่ยวกับการปฏิบัติราชการที่ไม่เข้าลักษณะรายจ่ายหมวดอื่นๆ</t>
  </si>
  <si>
    <t>แผนงานสร้างความเข้มแข็งของชุมชน</t>
  </si>
  <si>
    <t>2. รายจ่ายเกี่ยวกับการปฏิบัติราชการที่ไม่เข้าลักษณะรายจ่ายหมวดอื่นๆ</t>
  </si>
  <si>
    <t xml:space="preserve">   2.2 ค่าใช้จ่ายในการเดินทางไปราชการ (ค่าเดินทาง)ฯ</t>
  </si>
  <si>
    <t>3.ค่าบำรุงรักษาและซ่อมแซมทรัพย์สิน</t>
  </si>
  <si>
    <t>ส่วนส่งเสริม</t>
  </si>
  <si>
    <t>แผนงานการเกษตร งานอนุรักษ์แหล่งน้ำและป่าไม้</t>
  </si>
  <si>
    <t xml:space="preserve">  1.1 โครงการกำจัดวัชพืชในแหล่งน้ำและปรับปรุงภูมิทัศน์แหล่งน้ำ</t>
  </si>
  <si>
    <t xml:space="preserve">  1.2 โครงการตามพระราชดำริพระบาทสมเด็จพระเจ้าอยู่หัวภูมิพลอดุลยเดช</t>
  </si>
  <si>
    <t>รวมหมวดค่าใช้สอยทั้งสิ้น</t>
  </si>
  <si>
    <t>หมวดค่าวัสดุ</t>
  </si>
  <si>
    <t>1.  ค่าวัสดุสำนักงาน</t>
  </si>
  <si>
    <t>ผง.บริหารทั่วไป ง.บริหารงานทั่วไป</t>
  </si>
  <si>
    <t>ผง.รักษาความสงบภายใน ง.ป้องกันภัยฝ่ายพลเรือนและอัคคีภัย</t>
  </si>
  <si>
    <t>2.  ค่าวัสดุคอมพิวเตอร์</t>
  </si>
  <si>
    <t>1. ค่าวัสดุสำนักงาน</t>
  </si>
  <si>
    <t>2. ค่าวัสดุก่อสร้าง</t>
  </si>
  <si>
    <t xml:space="preserve"> 3. ค่าวัสดุยานพาหนะและขนส่ง</t>
  </si>
  <si>
    <t xml:space="preserve"> 4. ค่าวัสดุเชื้อเพลิงและหล่อลื่น</t>
  </si>
  <si>
    <t xml:space="preserve"> 5. ค่าวัสดุโฆษณา และเผยแพร่</t>
  </si>
  <si>
    <t>6.ค่าวัสดุคอมพิวเตอร์</t>
  </si>
  <si>
    <t>1. ค่าวัสดุไฟฟ้าและวิทยุ</t>
  </si>
  <si>
    <t>แผนงานเคหะและชุมชน  งานไฟฟ้า ถนน</t>
  </si>
  <si>
    <t>1.ค่าวัสดุสำนักงาน</t>
  </si>
  <si>
    <t>2. ค่าวัสดุไฟฟ้าและวิทยุ</t>
  </si>
  <si>
    <t>3. ค่าวัสดุกีฬา</t>
  </si>
  <si>
    <t>4. ค่าวัสดุคอมพิวเตอร์</t>
  </si>
  <si>
    <t>1. ค่าอาหารเสริม (นม) รร.และ ศพด.</t>
  </si>
  <si>
    <t>ผง.สาธารณสุข  ง.บริหารงานทั่วไปเกี่ยวกับสาธารณสุข</t>
  </si>
  <si>
    <t>2.ค่าวัสดุวิทยาศาสตร์ และการแพทย์</t>
  </si>
  <si>
    <t>3.ค่าวัสดุคอมพิวเตอร์</t>
  </si>
  <si>
    <t>แผนงานสังคมสงเคราะห์ งานบริการทั่วไปเกี่ยวกับสังคมสงเคราะห์</t>
  </si>
  <si>
    <t>2.ค่าวัสดุคอมพิวเตอร์</t>
  </si>
  <si>
    <t>1. ค่าวัสดุการเกษตร</t>
  </si>
  <si>
    <t>รวมหมวดค่าวัสดุทั้งสิ้น</t>
  </si>
  <si>
    <t>หมวดค่าสาธารณูปโภค</t>
  </si>
  <si>
    <t>1. ค่าไฟฟ้า</t>
  </si>
  <si>
    <t>2. ค่าน้ำประปา/ค่าน้ำบาดาล</t>
  </si>
  <si>
    <t>3. ค่าโทรศัพท์</t>
  </si>
  <si>
    <t>4. ค่าไปรษณีย์ ค่าโทรเลข ค่าธนาณัติ</t>
  </si>
  <si>
    <t>5. ค่าบริการสื่อสารและโทรคมนาคม</t>
  </si>
  <si>
    <t>แผนงานการศึกษา งานระดับก่อนวัยเรียนและประถมศึกษา</t>
  </si>
  <si>
    <t>2. ค่าน้ำประปา</t>
  </si>
  <si>
    <t>รวมหมวดค่าสาธารณูปโภคทั้งสิ้น</t>
  </si>
  <si>
    <t>หมวดรายจ่ายอื่น</t>
  </si>
  <si>
    <t>1. รายจ่ายอื่น</t>
  </si>
  <si>
    <t>รวมหมวดรายจ่ายอื่น</t>
  </si>
  <si>
    <t>หมวดอุดหนุน</t>
  </si>
  <si>
    <t>1. อุดหนุนโรงเรียนบ้านมะเกลือโนนทอง</t>
  </si>
  <si>
    <t xml:space="preserve">   1.1 โครงการส่งเสริมโภชนาการอาหารกลางวัน</t>
  </si>
  <si>
    <t>2. อุดหนุนโรงเรียนบ้านหลุบงิ้ว</t>
  </si>
  <si>
    <t xml:space="preserve">   2.1 โครงการส่งเสริมโภชนาการอาหารกลางวัน</t>
  </si>
  <si>
    <t>3. อุดหนุนโรงเรียนบ้านสระสี่เหลี่ยม</t>
  </si>
  <si>
    <t xml:space="preserve">   3.1 โครงการส่งเสริมโภชนาการอาหารกลางวัน</t>
  </si>
  <si>
    <t>4. อุดหนุนโรงเรียนบ้านทุ่งสว่าง</t>
  </si>
  <si>
    <t xml:space="preserve">   4.1 โครงการส่งเสริมโภชนาการอาหารกลางวัน</t>
  </si>
  <si>
    <t>1.อุดหนุนกลุ่มองค์กรสตรีตำบลบ้านกอก</t>
  </si>
  <si>
    <t xml:space="preserve">แผนงานสร้างความเข้มแข็งของชุมชน </t>
  </si>
  <si>
    <t xml:space="preserve">1. อุดหนุนโครงการพระราชดำริด้านสาธารณสุขมูลฐาน ม.1-ม.17 </t>
  </si>
  <si>
    <t xml:space="preserve">แผนงานสาธารณสุข </t>
  </si>
  <si>
    <t>รวมหมวดเงินอุดหนุนทั้งสิ้น</t>
  </si>
  <si>
    <t>รวมรายจ่ายประจำทั้งสิ้น</t>
  </si>
  <si>
    <t>รายจ่ายเพื่อการลงทุน (ค่าครุภัณฑ์สำนักงาน)</t>
  </si>
  <si>
    <t xml:space="preserve"> ค่าครุภัณฑ์สำนักงาน</t>
  </si>
  <si>
    <t>กองการคลัง</t>
  </si>
  <si>
    <t>ผง.บริหารงานทั่วไป ง.บริหารงานคลัง</t>
  </si>
  <si>
    <t>1. ตู้เก็บเอกสาร 2 บาน</t>
  </si>
  <si>
    <t xml:space="preserve">                                             ''</t>
  </si>
  <si>
    <t>ส่วนสารธาณสุข</t>
  </si>
  <si>
    <t>แผนงานสาธารณสุข งานบริหารทั่วไปเกี่ยวกับสาธารณสุข</t>
  </si>
  <si>
    <t xml:space="preserve"> ค่าครุภัณฑ์คอมพิวเตอร์</t>
  </si>
  <si>
    <t>แผนงานเคหะและชุมชน งานบริหารทั่งไปเกี่ยวกับเคหะและชุมชน</t>
  </si>
  <si>
    <t>รวมหมวดครุภัณฑ์ทั้งสิ้น</t>
  </si>
  <si>
    <t>แผนงานเคหะและชุมชน  งานไฟฟ้าถนน ก่อสร้างสาธารณูปโภค</t>
  </si>
  <si>
    <t xml:space="preserve"> - โครงการก่อสร้างถนน คสล.ม.2 (บ้านนายปรีชา-มัสยิด)</t>
  </si>
  <si>
    <t>กองการเกษตร</t>
  </si>
  <si>
    <t>รวมหมวดที่ดินและสิ่งก่อสร้างทั้งสิ้น</t>
  </si>
  <si>
    <t xml:space="preserve">องค์การบริหารส่วนตำบลบ้านกอก  อำเภอจัตรัส  จังหวัดชัยภูมิ  </t>
  </si>
  <si>
    <t>หมายเหตุ 2 งบทรัพย์สิน</t>
  </si>
  <si>
    <t>แหล่งที่มาของทรัพย์สินทั้งหมด</t>
  </si>
  <si>
    <t xml:space="preserve"> 1.ที่ดิน</t>
  </si>
  <si>
    <t xml:space="preserve"> 3.อาคารเอนกประสงค์</t>
  </si>
  <si>
    <t>4.อาคารห้องประชุม</t>
  </si>
  <si>
    <t>5.อาคารโรงครัว</t>
  </si>
  <si>
    <t>6. อาคารอเนกประสงค์ (โรงจอดรถ)</t>
  </si>
  <si>
    <t>7. เสาธง</t>
  </si>
  <si>
    <t>เงินอุดหนุนเฉพาะกิจ</t>
  </si>
  <si>
    <t>9. ศาลพระภูมิ</t>
  </si>
  <si>
    <t>10. ห้องน้ำ</t>
  </si>
  <si>
    <t>12.โรงเก็บพัสดุ</t>
  </si>
  <si>
    <t>13.ประปาบาดาล</t>
  </si>
  <si>
    <t xml:space="preserve">14.ศูนย์พัฒนาเด็กเล็ก </t>
  </si>
  <si>
    <t>15.รั้วศูนย์พัฒนาเด็กเล็ก</t>
  </si>
  <si>
    <t xml:space="preserve">            2. ทรัพย์สินที่ได้มาจากแหล่งเงินกู้  ให้แสดงทรัพย์สินทุกประเภท</t>
  </si>
  <si>
    <t>เงินสะสม  30  กันยายน 2561  ประกอบด้วย</t>
  </si>
  <si>
    <t>รายละเอียดแนบท้ายหมายเหตุ  10  เงินสะสม</t>
  </si>
  <si>
    <t>3. เงินช่วยเหลือการศึกษาบุตร</t>
  </si>
  <si>
    <t>4. ค่าเช่าบ้าน</t>
  </si>
  <si>
    <t>งบแสดงผลการดำเนินงานที่จ่ายจากเงินรายรับ</t>
  </si>
  <si>
    <t xml:space="preserve">งบกลาง   </t>
  </si>
  <si>
    <t xml:space="preserve">เงินเดือน (ฝ่ายการเมือง) </t>
  </si>
  <si>
    <t xml:space="preserve">ค่าตอบแทน   </t>
  </si>
  <si>
    <t xml:space="preserve">ค่าใช้สอย     </t>
  </si>
  <si>
    <t xml:space="preserve">ค่าที่ดินและสิ่งก่อสร้าง </t>
  </si>
  <si>
    <t xml:space="preserve">ค่าวัสดุ </t>
  </si>
  <si>
    <t>ค่าครุภัณฑ์  ( หมายเหตุ 1)</t>
  </si>
  <si>
    <t>ค่าที่ดินและสิ่งก่อสร้าง (หมายเหตุ 2)</t>
  </si>
  <si>
    <t>โต๊ะทำงาน</t>
  </si>
  <si>
    <t>ตู้เหล็กเก็บเอกสาร 2 บาน</t>
  </si>
  <si>
    <t>เก้าอี้ทำงาน</t>
  </si>
  <si>
    <t>องค์การบริหารส่วนตำบลบ้านกอก จัดตั้งตามประกาศกระทรวงมหาดไทย การจัดตั้งองค์การ</t>
  </si>
  <si>
    <t>บริหารส่วนตำบลบ้านกอก  เมื่อวันที่  19  มกราคม  พ.ศ.2539  สำนักงานตั้งอยู่เลขที่  13  หมู่  12  ตำบล</t>
  </si>
  <si>
    <t>บ้านกอก  อำเภอจัตุรัส  จังหวัดชัยภูมิ</t>
  </si>
  <si>
    <t>มีพื้นที่ในเขตตำบลบ้านกอกประมาณ  58,810  ไร่  หรือ  94  ตารางกิโลเมตร</t>
  </si>
  <si>
    <t>มีหมู่บ้านทั้งหมด  17  หมู่บ้าน  เขตพื้นที่ของตำบลบ้านกอก  จะมีพื้นที่ของเทศบาลตำบลจัตุรัส</t>
  </si>
  <si>
    <t>อยู่ตรงกลาง  จำนวน  3  หมู่บ้าน</t>
  </si>
  <si>
    <t>หมายเหตุ 1  สรุปนโยบายการบัญชีที่สำคัญ</t>
  </si>
  <si>
    <t>1.1 หลักเกณฑ์ในการจัดทำงบแสดงฐานะการเงิน</t>
  </si>
  <si>
    <t xml:space="preserve">         การบันทึกบัญชีเพื่อจัดทำงบแสดงฐานะทางการเงินเป็นไปตามเกณฑ์เงินสดและเกณฑ์</t>
  </si>
  <si>
    <t>คงค้างตามประกาศกระทรวงมหาดไทย  เรื่อง หลักเกณฑ์และวิธีการปฏิบัติการบันทึกบัญชี  การจัดทำทะเบียน</t>
  </si>
  <si>
    <t>1.2 รายการเปิดเผยอื่นใด (ถ้ามี)</t>
  </si>
  <si>
    <t>และจะเบิกจ่ายในปีงบประมาณต่อไป  ตามรายละเอียดแนบท้ายหมายเหตุ 10</t>
  </si>
  <si>
    <r>
      <rPr>
        <u/>
        <sz val="14"/>
        <color theme="1"/>
        <rFont val="TH SarabunPSK"/>
        <family val="2"/>
      </rPr>
      <t>หัก</t>
    </r>
    <r>
      <rPr>
        <sz val="14"/>
        <color theme="1"/>
        <rFont val="TH SarabunPSK"/>
        <family val="2"/>
      </rPr>
      <t xml:space="preserve">  25 % ของรายรับจริงสูงกว่ารายจ่ายจริง</t>
    </r>
  </si>
  <si>
    <t xml:space="preserve">องค์การบริหารส่วนตำบลบ้านกอก </t>
  </si>
  <si>
    <t>งบทรัพย์สิน</t>
  </si>
  <si>
    <t>(รายการรับเพิ่มและจำหน่าย)</t>
  </si>
  <si>
    <t>จำหน่าย</t>
  </si>
  <si>
    <t>ปรับปรุงเพิ่ม</t>
  </si>
  <si>
    <t>ปรับปรุงลด</t>
  </si>
  <si>
    <t>หลังปรับปรุง</t>
  </si>
  <si>
    <t>อสังหาริมทรัพย์</t>
  </si>
  <si>
    <t xml:space="preserve"> 2.อาคารห้องประชุมเอนกประสงค์ฯ</t>
  </si>
  <si>
    <t>8. เสาธง ศพด.บ้านทุ่งสว่างวัฒนา</t>
  </si>
  <si>
    <t>11. ห้องน้ำ ศพด.บ้านทุ่งสว่างวัฒนา</t>
  </si>
  <si>
    <t>รวมอสังหาริมทรัพย์</t>
  </si>
  <si>
    <t>สังหาริมทรัพย์</t>
  </si>
  <si>
    <t>1.ครุภัณฑ์ยานพาหนะและขนส่ง</t>
  </si>
  <si>
    <t>2.ครุภัณฑ์สำนักงาน</t>
  </si>
  <si>
    <t>3.ครุภัณฑ์การเกษตร</t>
  </si>
  <si>
    <t>4.ครุภัณฑ์การไฟฟ้าและวิทยุ</t>
  </si>
  <si>
    <t>5.ครุภัณฑ์สำรวจ</t>
  </si>
  <si>
    <t>6.ครุภัณฑ์งานบ้านงานครัว</t>
  </si>
  <si>
    <t>7.ครุภัณฑ์โฆษณาและเผยแพร่</t>
  </si>
  <si>
    <t>8.ครุภัณฑ์ดับเพลิง</t>
  </si>
  <si>
    <t>9.ครุภัณฑ์วิทยาศาสตร์หรือการแพทย์</t>
  </si>
  <si>
    <t>10.ครุภัณฑ์การศึกษา</t>
  </si>
  <si>
    <t>11.ครุภัณฑ์คอมพิวเตอร์</t>
  </si>
  <si>
    <t>12.ครุภัณฑ์การโยธา</t>
  </si>
  <si>
    <t>13.ครุภัณฑ์ก่อสร้าง</t>
  </si>
  <si>
    <t>14.ครุภัณฑ์สาธารณสุช</t>
  </si>
  <si>
    <t>15 ครุภัณฑ์เต๊นท์</t>
  </si>
  <si>
    <t>16. ครุภัณฑ์อื่น</t>
  </si>
  <si>
    <t>รวมสังหาริมทรัพย์</t>
  </si>
  <si>
    <t>รหัสบัญชี</t>
  </si>
  <si>
    <t>เครดิต</t>
  </si>
  <si>
    <t>ปลัดองค์การบริหารส่วนตำบล</t>
  </si>
  <si>
    <t>องค์การบริหารส่วนตำบลบ้านกอก  อำเภอจัตุรัส จังหวัดชัยภูมิ</t>
  </si>
  <si>
    <t xml:space="preserve">   เงินฝากธนาคารกรุงไทย ออมทรัพย์ เลขที่ 318-1-55840-0</t>
  </si>
  <si>
    <t xml:space="preserve">   เงินฝากธนาคารกรุงไทย ออมทรัพย์ เลขที่ 981-4-52961-3</t>
  </si>
  <si>
    <t xml:space="preserve">   เงินฝากธนาคารกรุงไทย กระแสรายวัน เลขที่ 318-6-01052-7</t>
  </si>
  <si>
    <t xml:space="preserve">   เงินฝากธนาคารออมสิน ออมทรัพย์ 051110336529</t>
  </si>
  <si>
    <t xml:space="preserve">   เงินฝากธนาคาร ธ.ก.ส.ออมทรัพย์ เลขที่ 01112-2-54362-0</t>
  </si>
  <si>
    <t xml:space="preserve">   เงินฝากธนาคาร ธ.ก.ส.ออมทรัพย์ เลขที่ 01112-2-69027-8</t>
  </si>
  <si>
    <t xml:space="preserve">   เงินฝากธนาคาร ธ.ก.ส. เงินฝากประจำระยะสั้น 310001595688</t>
  </si>
  <si>
    <t xml:space="preserve">   ลูกหนี้-ภาษีบำรุงท้องที่</t>
  </si>
  <si>
    <t xml:space="preserve"> </t>
  </si>
  <si>
    <t xml:space="preserve">   ลูกหนี้-เงินทุนโครงการเศรษฐกิจชุมชน</t>
  </si>
  <si>
    <t xml:space="preserve">   รายได้จากรัฐบาลค้างรับ</t>
  </si>
  <si>
    <t xml:space="preserve">   รายจ่ายค้างจ่าย</t>
  </si>
  <si>
    <t xml:space="preserve">   เงินรับฝาก- ภาษีหัก ณ ที่จ่าย</t>
  </si>
  <si>
    <t xml:space="preserve">   เงินรับฝากส่วนลดในการจัดเก็บภาษีบำรุงท้องที่ 6%</t>
  </si>
  <si>
    <t xml:space="preserve">   เงินรับฝากประกันสัญญา</t>
  </si>
  <si>
    <t xml:space="preserve">   เงินรับฝากเงินทุนโครงการเศรษฐกิจชุมชน</t>
  </si>
  <si>
    <t xml:space="preserve">   เงินรับฝาก -รอคืนจังหวัด</t>
  </si>
  <si>
    <t xml:space="preserve">   เงินสะสม</t>
  </si>
  <si>
    <t xml:space="preserve">   เงินทุนสำรองเงินสะสม</t>
  </si>
  <si>
    <t xml:space="preserve">   ภาษีโรงเรือนและที่ดิน</t>
  </si>
  <si>
    <t xml:space="preserve">   ภาษีป้าย</t>
  </si>
  <si>
    <t xml:space="preserve">   ค่าธรรมเนียมเกี่ยวกับใบอนุญาตการพนัน</t>
  </si>
  <si>
    <t xml:space="preserve">   ค่าธรรมเนียมเกี่ยวกับการควบคุมอาคาร</t>
  </si>
  <si>
    <t xml:space="preserve">   ค่าธรรมเนียมเก็บและขนมูลฝอย</t>
  </si>
  <si>
    <t xml:space="preserve">   ค่าธรรมเนียมจดทะเบียนพาณิชย์</t>
  </si>
  <si>
    <t xml:space="preserve">   ค่าปรับผู้กระทำผิดกฎหมายจราจรทางบก</t>
  </si>
  <si>
    <t xml:space="preserve">   ค่าใบอนุญาตประกอบการค้าสำหรับกิจการที่เป็นอันตรายต่อสุขภาพ</t>
  </si>
  <si>
    <t xml:space="preserve">   ค่าธรรมเนียมและค่าใช้น้ำบาดาล</t>
  </si>
  <si>
    <t xml:space="preserve">   ดอกเบี้ยเงินฝากธนาคาร</t>
  </si>
  <si>
    <t xml:space="preserve">   รายได้เบ็คเตล็ดอื่นๆ</t>
  </si>
  <si>
    <t xml:space="preserve">   ภาษีและค่าธรรมเนียมรถยนต์และล้อเลื่อน</t>
  </si>
  <si>
    <t xml:space="preserve">   ภาษีมูลค่าเพิ่มตาม พ.ร.บ. กำหนดแผนฯ</t>
  </si>
  <si>
    <t xml:space="preserve">   ภาษีมูลค่าเพิ่มตาม พ.ร.บ. จัดสรรรายได้</t>
  </si>
  <si>
    <t xml:space="preserve">   ภาษีธุรกิจเฉพาะ</t>
  </si>
  <si>
    <t xml:space="preserve">   ภาษีสรรพสามิต</t>
  </si>
  <si>
    <t xml:space="preserve">   ค่าภาคหลวงแร่</t>
  </si>
  <si>
    <t xml:space="preserve">   ค่าภาคหลวงปิโตรเลียม</t>
  </si>
  <si>
    <t xml:space="preserve">   ค่าธรรมเนียมจดทะเบียนสิทธิและนิติกรรมตามประมวลกฏหมายที่ดิน</t>
  </si>
  <si>
    <t xml:space="preserve">   งบกลาง</t>
  </si>
  <si>
    <t xml:space="preserve">   เงินเดือน (ฝ่ายการเมือง)</t>
  </si>
  <si>
    <t xml:space="preserve">   เงินเดือน (ฝ่ายประจำ)</t>
  </si>
  <si>
    <t xml:space="preserve">   ค่าตอบแทน</t>
  </si>
  <si>
    <t xml:space="preserve">   ค่าใช้สอย</t>
  </si>
  <si>
    <t xml:space="preserve">   ค่าวัสดุ</t>
  </si>
  <si>
    <t xml:space="preserve">   ค่าสาธารณูปโภค</t>
  </si>
  <si>
    <t xml:space="preserve">  ค่าครุภัณฑ์</t>
  </si>
  <si>
    <t xml:space="preserve">  ค่าที่ดินและสิ่งก่อสร้าง</t>
  </si>
  <si>
    <t xml:space="preserve">   เงินอุดหนุน</t>
  </si>
  <si>
    <t>(นางนิศากร     แนวประเสริฐ)</t>
  </si>
  <si>
    <t xml:space="preserve">      ผู้อำนวยการกองคลัง</t>
  </si>
  <si>
    <t xml:space="preserve">      .............................................</t>
  </si>
  <si>
    <t xml:space="preserve"> (นายสุทธิศักดิ์       สังข์ทอง)</t>
  </si>
  <si>
    <t xml:space="preserve">  ..................................................</t>
  </si>
  <si>
    <t xml:space="preserve">               ..................................................</t>
  </si>
  <si>
    <t xml:space="preserve">             (นายสุทธิศักดิ์       สังข์ทอง)</t>
  </si>
  <si>
    <t xml:space="preserve">      ปลัดองค์การบริหารส่วนตำบล ปฏิบัติหน้าที่</t>
  </si>
  <si>
    <t xml:space="preserve">       นายกองค์การบริหารส่วนตำบลบ้านกอก</t>
  </si>
  <si>
    <t>ทุนทรัพย์สิน</t>
  </si>
  <si>
    <t xml:space="preserve"> อาคารห้องประชุม</t>
  </si>
  <si>
    <t xml:space="preserve"> อาคารอเนกประสงค์ (โรงจอดรถ)</t>
  </si>
  <si>
    <t xml:space="preserve"> เสาธง</t>
  </si>
  <si>
    <t xml:space="preserve">   อาคารเอนกประสงค์</t>
  </si>
  <si>
    <t xml:space="preserve"> เสาธงศูนย์พัฒนาเด็กเล็กบ้านทุ่งสว่างวัฒนา</t>
  </si>
  <si>
    <t xml:space="preserve"> ห้องน้ำ</t>
  </si>
  <si>
    <t xml:space="preserve"> ห้องน้ำศูนย์พัฒนาเด็กเล็กบ้านทุ่งสว่างวัฒนา</t>
  </si>
  <si>
    <t xml:space="preserve"> โรงเก็บพัสดุ</t>
  </si>
  <si>
    <t xml:space="preserve"> ประปาบาดาล</t>
  </si>
  <si>
    <t xml:space="preserve"> ศูนย์พัฒนาเด็กเล็ก </t>
  </si>
  <si>
    <t xml:space="preserve"> รั้วศูนย์พัฒนาเด็กเล็ก</t>
  </si>
  <si>
    <t xml:space="preserve">   ครุภัณฑ์ยานพาหนะและขนส่ง</t>
  </si>
  <si>
    <t xml:space="preserve">   ครุภัณฑ์สำนักงาน</t>
  </si>
  <si>
    <t xml:space="preserve">   ครุภัณฑ์การเกษตร</t>
  </si>
  <si>
    <t xml:space="preserve">   ครุภัณฑ์ไฟฟ้าและวิทยุ</t>
  </si>
  <si>
    <t xml:space="preserve">   ครุภัณฑ์งานบ้านงานครัว</t>
  </si>
  <si>
    <t xml:space="preserve">   ครุภัณฑ์ดับเพลิง</t>
  </si>
  <si>
    <t xml:space="preserve">   ครุภัณฑ์คอมพิวเตอร์</t>
  </si>
  <si>
    <t xml:space="preserve">   ครุภัณฑ์การโยธา</t>
  </si>
  <si>
    <t xml:space="preserve">   ครุภัณฑ์สาธารณสุข</t>
  </si>
  <si>
    <t xml:space="preserve">   ครุภัณฑ์เต๊นท์</t>
  </si>
  <si>
    <t xml:space="preserve">   ครุภัณฑ์อื่น</t>
  </si>
  <si>
    <t>โครงการเบี้ยยังชีพผู้พิการ ปี 2559</t>
  </si>
  <si>
    <t>กลุ่มแม่บ้านเกษตรกรโนนทอง ม.3</t>
  </si>
  <si>
    <t>กลุ่มส่งเสริมอาชีพปลูกผักบ้านมะเกลือ ม.13</t>
  </si>
  <si>
    <t>กลุ่มส่งเสริมการเกษตรไร่อ้อย ม.14</t>
  </si>
  <si>
    <t>กลุ่มเกษตรผู้ปลูกพริก บ้านสระสี่เหลี่ยม ม.14</t>
  </si>
  <si>
    <t>ก่อสร้างโครงสร้างพื้นฐาน</t>
  </si>
  <si>
    <t xml:space="preserve">                                        รวม</t>
  </si>
  <si>
    <t>ปรับปรุงลูกหนี้ภาษีบำรุงท้องที่</t>
  </si>
  <si>
    <t>ปรับปรุงบัญชีเงินรอคืนจังหวัด-เบี้ยยังชีพผู้สูงอายุ ปี 2559</t>
  </si>
  <si>
    <t>ปรับปรุงบัญชีเงินรอคืนจังหวัด-เบี้ยยังชีพผู้สูงพิการ ปี 2559</t>
  </si>
  <si>
    <t>รวมรายจ่าย</t>
  </si>
  <si>
    <t>รวมรายรับ</t>
  </si>
  <si>
    <t>รายรับสูงกว่าหรือ(ต่ำกว่า)รายจ่าย</t>
  </si>
  <si>
    <t>เงินอุดหนุนระบุวัตถุประสงค์/เฉพาะกิจ)</t>
  </si>
  <si>
    <t>(นางนิศากร          แนวประเสริฐ)</t>
  </si>
  <si>
    <t>ปลัดองค์การบริหารส่วนตำบลบ้านกอก</t>
  </si>
  <si>
    <t>(นายสุทธิศักดิ์     สังข์ทอง)</t>
  </si>
  <si>
    <t>ปลัดองค์การบริหารส่วนตำบล ปฏิบัติหน้าที่</t>
  </si>
  <si>
    <t xml:space="preserve">นายกองค์การบริหารส่วนตำบล </t>
  </si>
  <si>
    <t xml:space="preserve">      2561</t>
  </si>
  <si>
    <t>หมายเหตุ 3 เงินสดและเงินฝากธนาคาร</t>
  </si>
  <si>
    <t xml:space="preserve">เงินฝากธนาคาร </t>
  </si>
  <si>
    <t xml:space="preserve">กรุงไทย </t>
  </si>
  <si>
    <t>ธกส.</t>
  </si>
  <si>
    <t>ออมสิน</t>
  </si>
  <si>
    <t>เงินรอคืนจังหวัด - เบี้ยยังชีพผู้สูงอายุ ปี 2559</t>
  </si>
  <si>
    <t>เงินรอคืนจังหวัด - เบี้ยยังชีพผู้พิการ ปี 2559</t>
  </si>
  <si>
    <t xml:space="preserve">                   รับคืนเงินจัดสรรเงินเดือน/ค่าตอบแทน ผดด. /</t>
  </si>
  <si>
    <t>ค่าสวัสดิการ (ตกเบิก) ปี 2558</t>
  </si>
  <si>
    <t>...............................................</t>
  </si>
  <si>
    <t>............................................</t>
  </si>
  <si>
    <t>.............................................................</t>
  </si>
  <si>
    <t>1.  ลูกหหนี้-เงินสะสม (รายได้จากรัฐบาลค้างรับ)</t>
  </si>
  <si>
    <t>เงินสะสม  30  กันยายน   2561</t>
  </si>
  <si>
    <t xml:space="preserve">และรายงานการเงินขององค์กรปกครองส่วนท้องถิ่น ลงวันที่  20  มีนาคม  2558 และที่แก้ไขเพิ่มเติม (ฉบับที่ 2 )  </t>
  </si>
  <si>
    <t>ลงวันที่  27  มีนาคม  2561 และหนังสือสั่งการที่เกี่ยวข้อง</t>
  </si>
  <si>
    <t>ค่าก่อสร้างสาธารณูปโภค</t>
  </si>
  <si>
    <t>ณ   วันที่   30   กันยายน   2562</t>
  </si>
  <si>
    <t>11012003</t>
  </si>
  <si>
    <t>11012001</t>
  </si>
  <si>
    <t>11012002</t>
  </si>
  <si>
    <t xml:space="preserve">   เงินฝากกระทรวงการคลัง</t>
  </si>
  <si>
    <t>11020000</t>
  </si>
  <si>
    <t>11042000</t>
  </si>
  <si>
    <t>11043002</t>
  </si>
  <si>
    <t>11045000</t>
  </si>
  <si>
    <t>21010000</t>
  </si>
  <si>
    <t>21040001</t>
  </si>
  <si>
    <t>21040005</t>
  </si>
  <si>
    <t>21040014</t>
  </si>
  <si>
    <t>21040015</t>
  </si>
  <si>
    <t xml:space="preserve">   เงินรับฝาก-เงินกู้ยืมเพื่อการศึกษา (กยศ.)</t>
  </si>
  <si>
    <t>21040016</t>
  </si>
  <si>
    <t xml:space="preserve">   เงินรับฝาก- กองทุนหลักประกันสุขภาพ (สปสช.)</t>
  </si>
  <si>
    <t>21040099</t>
  </si>
  <si>
    <t>31000000</t>
  </si>
  <si>
    <t>32000000</t>
  </si>
  <si>
    <t>41100001</t>
  </si>
  <si>
    <t xml:space="preserve">   ภาษีบำรุงท้องที่ </t>
  </si>
  <si>
    <t>41100002</t>
  </si>
  <si>
    <t xml:space="preserve"> 41100003</t>
  </si>
  <si>
    <t xml:space="preserve">   ค่าธรรมเนียมเกี่ยวกับใบอนุญาตการขายสุรา</t>
  </si>
  <si>
    <t>41210004</t>
  </si>
  <si>
    <t>41210005</t>
  </si>
  <si>
    <t>41210007</t>
  </si>
  <si>
    <t>41210008</t>
  </si>
  <si>
    <t>41210029</t>
  </si>
  <si>
    <t>41220002</t>
  </si>
  <si>
    <t xml:space="preserve">   ค่าปรับการผิดสัญญา</t>
  </si>
  <si>
    <t>41220010</t>
  </si>
  <si>
    <t>41230003</t>
  </si>
  <si>
    <t>41300003</t>
  </si>
  <si>
    <t xml:space="preserve"> 41599999</t>
  </si>
  <si>
    <t xml:space="preserve"> 42100001</t>
  </si>
  <si>
    <t xml:space="preserve"> 42100002</t>
  </si>
  <si>
    <t xml:space="preserve"> 42100005</t>
  </si>
  <si>
    <t xml:space="preserve"> 42100007</t>
  </si>
  <si>
    <t xml:space="preserve"> 42100012</t>
  </si>
  <si>
    <t xml:space="preserve"> 42100013</t>
  </si>
  <si>
    <t xml:space="preserve"> 42100015</t>
  </si>
  <si>
    <t xml:space="preserve"> 42100017</t>
  </si>
  <si>
    <t xml:space="preserve">   เงินอุดหนุนทั่วไป-สำหรับดำเนินการตามอำนาจหน้าที่และภารกิจถ่ายโอนเลือกทำ</t>
  </si>
  <si>
    <t xml:space="preserve"> 43100002</t>
  </si>
  <si>
    <t xml:space="preserve">   เงินอุดหนุนเฉพาะกิจ</t>
  </si>
  <si>
    <t>44100001</t>
  </si>
  <si>
    <t>51100000</t>
  </si>
  <si>
    <t xml:space="preserve">  ประจำปีงบประมาณ พ.ศ.2562</t>
  </si>
  <si>
    <t>1.14 ภาษีจัดสรรอื่น ๆ</t>
  </si>
  <si>
    <t>1.8 ค่าธรรมเนียมใบอนุญาตทำการเก็บ ขน หรือกำจัดสิ่งปฏิกูลมูลฝอย</t>
  </si>
  <si>
    <t>1.9 ค่าธรรมเนียมประกอบกิจการที่เป็นอันตรายต่อสุขภาพ</t>
  </si>
  <si>
    <t>1.10 ค่าใบอนุญาติเกี่ยวกับการควบคุมอาคาร</t>
  </si>
  <si>
    <t>1.11 ค่าธรรมเนียมเกี่ยวกับใบอนุญาตขายสุรา</t>
  </si>
  <si>
    <t>ณ วันที่  30   กันยายน   2562</t>
  </si>
  <si>
    <t>4.เงินเพิ่มต่าง ๆ ของพนักงานจ้าง</t>
  </si>
  <si>
    <t xml:space="preserve">   3.1 ค่าใช้จ่ายในการเดินทางไปราชการ (ค่าเดินทาง)</t>
  </si>
  <si>
    <t xml:space="preserve">   3.4 คชจ.ในการดำเนินการจัดกิจกรรม 5 ส</t>
  </si>
  <si>
    <t xml:space="preserve">   3.5 คชจ.ในการฝึกอบรมพัฒนาประชาธิปไตยและการปกป้องสถาบัน</t>
  </si>
  <si>
    <t xml:space="preserve">   3.6 คชจ.ในการจัดทำแผน อบต. ประชาคมระดับหมู่บ้าน ,ระดับตำบล</t>
  </si>
  <si>
    <t xml:space="preserve">   3.7 คชจ.ตามโครงการฝึกอบรมเพื่อเพิ่มประสิทธิภาพ</t>
  </si>
  <si>
    <t xml:space="preserve">   3.8 คชจ.ในการดำเนินการป้องกันและปราบปรามการทุจริตฯ</t>
  </si>
  <si>
    <t xml:space="preserve">   3.9 โครงการบริหารงานของสถานศึกษากลาง ศูนย์ช่วยเหลือประชาชน ของ อปท.อ.จัตุรัส</t>
  </si>
  <si>
    <t xml:space="preserve">   3.10 โครงการฝึกอบรมและศึกษาดูงาน</t>
  </si>
  <si>
    <t xml:space="preserve">   1.1 โครงการฝึกอบรมเพิ่มศักยภาพอาสาสมัครป้องกันภัยฝ่ายพลเรือน (อปพร.)</t>
  </si>
  <si>
    <t xml:space="preserve">   1.3 โครงกาป้องกันรรณรงค์ปฏิบัติตามกฏจราจร </t>
  </si>
  <si>
    <t xml:space="preserve">   1.4 โครงการจัดตั้งศูนย์รายงานสถานการจราจรและอยู่เวรยามช่วงเทศกาล</t>
  </si>
  <si>
    <t xml:space="preserve">   1.5 ค่าใช้จ่ายในการป้องกันและแก้ไขปัญหายาเสพติดการจัดระเบียบสังคม</t>
  </si>
  <si>
    <t xml:space="preserve">   1.6 โครงการป้องกันแก้ไขปัญหาไฟป่าและหมอกควัน</t>
  </si>
  <si>
    <t xml:space="preserve">   2.1 ค่าใช้จ่ายในการเดินทางไปราชการ</t>
  </si>
  <si>
    <t xml:space="preserve">   2.3 ค่าของขวัญของรางวัลหรือเงินรางวัลในงานกิจกรรมต่างๆ</t>
  </si>
  <si>
    <t xml:space="preserve">   3.2 ค่าใช้จ่ายเนื่องในวันเด็กแห่งชาติ</t>
  </si>
  <si>
    <t xml:space="preserve">   3.3 คชจ.โครงการฝึกอบรมปลูกฝังคุณธรรม จริยธรรม ให้กับเด็ก เยาวชนฯ</t>
  </si>
  <si>
    <t xml:space="preserve">   1.2 โครงการสนับสนุนค่าใช้จ่ายการบริหารสถานศึกษา (รายหัว)</t>
  </si>
  <si>
    <t xml:space="preserve">   1.3 โครงการสนับสุนค่าใช้จ่ายการบริหารสถานศึกษา สำหรับศพด.</t>
  </si>
  <si>
    <t xml:space="preserve">   1.5 โครงการสนามเด็กเล่นสร้างปัญญา ศพด.บ้านทุ่งสว่างวัฒนา ม.9</t>
  </si>
  <si>
    <t xml:space="preserve">  1.1 โครงการส่งเสริมพัฒนาอาชีพและพัฒนาผลิตภัณฑ์ชุมชน</t>
  </si>
  <si>
    <t xml:space="preserve">  1.2 โครงการส่งเสริมและสนับสนุนกระบวนการจัดทำ ทบทวนปรับปรุงแผนฯ</t>
  </si>
  <si>
    <t xml:space="preserve">  1.4 โครงการส่งเสริมและพัฒนาคุณภาพชีวิตให้กับผู้สูงอายุในเขตพื้นที่ อบต.บ้านกอก</t>
  </si>
  <si>
    <t xml:space="preserve">  1.5 โครงการฝึกอบรมเด้กและเยาวชน ในการป้องกันการตั้งครรภ์ก่อนวัยอันควร</t>
  </si>
  <si>
    <t xml:space="preserve">  1.6 โครงการณรงค์ให้ความรู้เรื่องโรคเอดส์</t>
  </si>
  <si>
    <t>2. ค่าวัสดุงานบ้านงานบ้านงานครัว</t>
  </si>
  <si>
    <t>3. ค่าวัสดุยานพาหนะและขนส่ง</t>
  </si>
  <si>
    <t>4. ค่าวัสดุน้ำมันเชื้อเพลิงและหล่อลื่น</t>
  </si>
  <si>
    <t>5. ค่าวัสดุโฆษณาและเผยแพร่</t>
  </si>
  <si>
    <t>6. ค่าวัสดุคอมพิวเตอร์</t>
  </si>
  <si>
    <t xml:space="preserve">1. ตู้เหล็กเก็บเอกสาร แบบ 4 ชั้น </t>
  </si>
  <si>
    <t>2. เครื่องโทรสาร แบบใช้กระดาษธรรมดาฯ</t>
  </si>
  <si>
    <t>3. เก้าอี้ทำงาน จำนวน 2 ตัว</t>
  </si>
  <si>
    <t>4. ตู้เหล็กเก็บเอกสาร แบบ 4 ชั้น กระจกบานเลื่อน</t>
  </si>
  <si>
    <t>5. โต๊ะขาวขาพับ ขนาดใหญ่ จำนวน 3 ตัว</t>
  </si>
  <si>
    <t>กองสวัสดิการฯ</t>
  </si>
  <si>
    <t>1. เก้าอี้ทำงาน (ผู้อำนวยการกอง)</t>
  </si>
  <si>
    <t>2. เก้าอี้ทำงาน</t>
  </si>
  <si>
    <t>1. เคริ่องพิมพ์ แบบฉีดหมึก พร้อมติดตั้งถังหมึกพิมพ์ (Ink Tank Printer)</t>
  </si>
  <si>
    <t>1. เคริ่องคอมพิวเตอร์ สำหรับ สนง. (จอขนาดไม่น้อยกว่า 19 นิ้ว)</t>
  </si>
  <si>
    <t>2. เคริ่องสำรองไฟฟ้า ขนาด 800AV</t>
  </si>
  <si>
    <t>3. เคริ่องพิมพ์แบบฉีดหมึก พร้อมติดตั้งถังหมึกพิมพ์ (Ink Tank Printer)</t>
  </si>
  <si>
    <t>1. กรวยจราจรมาตรฐาน คาดแถบสะท้อนแสง จำนวน 15 กรวย</t>
  </si>
  <si>
    <t>ณ 30 กันยายน 2562</t>
  </si>
  <si>
    <t>ยกมาปี 61</t>
  </si>
  <si>
    <t>ปี 62</t>
  </si>
  <si>
    <t xml:space="preserve"> ปี 2561</t>
  </si>
  <si>
    <t>ปี 2562</t>
  </si>
  <si>
    <t xml:space="preserve">   ครุภัณฑ์การศึกษา</t>
  </si>
  <si>
    <t xml:space="preserve"> สำหรับปีสิ้นสุด วันที่   30  กันยายน  2562</t>
  </si>
  <si>
    <t>สำหรับปี สิ้นสุดวันที่  ณ  วันที่   30  กันยายน  2562</t>
  </si>
  <si>
    <t>สำหรับปี  สิ้นสุดวันที่  30  กันยายน  2562</t>
  </si>
  <si>
    <t xml:space="preserve">   2561</t>
  </si>
  <si>
    <t xml:space="preserve">     2562</t>
  </si>
  <si>
    <t>จ้างเหมาบริการผู้ปฏิบัติงานสถานที่กลางศูนย์ช่วยเหลือประชาชนฯ</t>
  </si>
  <si>
    <t>โครงการก่อสร้างถนน คสล.ภายในหมู่บ้าน ม.15 (บ้านน.ส.มาริน)</t>
  </si>
  <si>
    <t>โครงการก่อสร้างถนน คสล.ภายในหมู่บ้าน ม.17(สามแยกศาลเจ้าพ่อฯ)</t>
  </si>
  <si>
    <t>โครงการก่อสร้างยกระดับถนนลูกรัง ม.5(นายสากล)-ฟาร์มสุกร ม.8</t>
  </si>
  <si>
    <t>โครงการก่อสร้างถนน คสล.สายบ้านนายสามารถ-บ้านนายสง่า ม.6</t>
  </si>
  <si>
    <t>อนุรักษ์แหล่งน้ำและป่าไม้</t>
  </si>
  <si>
    <t>โครงการก่อสร้างฝายน้ำล้นลำห้วยผา ม.9 จุดที่ 1</t>
  </si>
  <si>
    <t xml:space="preserve">      2562</t>
  </si>
  <si>
    <t>เงินรับฝาก-เงินกู้ยืมเพื่อการศึกษา (กยศ.)</t>
  </si>
  <si>
    <t>เงินรับฝาก-กองทุนหลักประกันสุขภาพ (สปสช.)</t>
  </si>
  <si>
    <t>เงินรับฝาก-โครงการบริหารงานของสถานที่กลางปฏิบัติการ-</t>
  </si>
  <si>
    <t>ร่วมในการช่วยเหลือประชาชนฯ</t>
  </si>
  <si>
    <t>1.ปรับปรุงผิวจราจรลูกรัง (ลงลูกรังในส่วนที่ชำรุดเสียหายสาย) เลียบห้วยกอก ม.1</t>
  </si>
  <si>
    <t>2.ปรับปรุงผิวจราจรลูกรัง(ลงลูกรังในส่วนที่ชำรุดเสียหาย)สายโนนทอง -โคกโต่งโต้น-ห้วยบงบ่า ม.3</t>
  </si>
  <si>
    <t>3.ปรับปรุงผิวจราจรลูกรัง(ลงลูกรังในส่วนที่ชำรุดเสียหาย) สายไร่กอวิเศษ ม.10</t>
  </si>
  <si>
    <t>4.ปรับปรุงผิวจราจรลูกรัง(ลงลูกรังในส่วนที่ชำรุดเสียหาย) สายถนนบ้านนางสมวงศ์-คุ้มโนนหัวช้าง ม.13</t>
  </si>
  <si>
    <t>5.ปรับปรุงผิวจราจรลูกรัง(ลงลูกรังในส่วนที่ชำรุดเสียหาย) สายบ้านนายยอทอง-ห้วยข่า ม.13</t>
  </si>
  <si>
    <t>6.ปรับปรุงผิวจราจรลูกรัง(ลงลูกรังในส่วนที่ชำรุดเสียหาย) สายหินขุคิ-นานายกองตา ม.17</t>
  </si>
  <si>
    <t>7.ปรับปรุงผิวจราจรลูกรัง(ลงลูกรังในส่วนที่ชำรุดเสียหาย) สายหินขุคิ-โคกหมาหิว ม.17</t>
  </si>
  <si>
    <t>8.ปรับปรุงผิวจราจรลูกรัง(ลงลูกรังในส่วนที่ชำรุดเสียหาย) สายโนนทอง(ป่าช้า)-ท่าช้าง ม.17</t>
  </si>
  <si>
    <t>9.ปรับปรุงผิวจราจรลูกรัง(ลงลูกรังในส่วนที่ชำรุดเสียหาย) สายโนนทองท่าช้าง- ท่าแตง ม.17</t>
  </si>
  <si>
    <t>10.ปรับปรุงผิวจราจรลูกรัง(ลงลูกรังในส่วนที่ชำรุดเสียหาย) สายบ้านหลุบงิ้ว-คุ้มบาลาน ม.5</t>
  </si>
  <si>
    <t>11.ปรับปรุงผิวจราจรลูกรัง(ลงลูกรังในส่วนที่ชำรุดเสียหาย) สายบ้านหลุบงิ้ว-หนองพง ม.5</t>
  </si>
  <si>
    <t>12.ปรับปรุงผิวจราจรลูกรัง(ลงลูกรังในส่วนที่ชำรุดเสียหาย) สายสระสี่เหลี่ยม ม.7-หนองไผ่</t>
  </si>
  <si>
    <t>13.ปรับปรุงผิวจราจรลูกรัง(ลงลูกรังในส่วนที่ชำรุดเสียหาย) สายสระสี่เหลี่ยม ม.7-สระน้อย(ฟาร์มไก่)</t>
  </si>
  <si>
    <t>14.ปรับปรุงผิวจราจรลูกรัง(ลงลูกรังในส่วนที่ชำรุดเสียหาย) สายบ้านนายนิทัศน์ ม.8-หนองไผ่ล้อม</t>
  </si>
  <si>
    <t>15.ปรับปรุงผิวจราจรลูกรัง(ลงลูกรังในส่วนที่ชำรุดเสียหาย) สายบ้านโนนสะอาด ม.8 เชื่อมต่อ ม.12</t>
  </si>
  <si>
    <t>16.ปรับปรุงผิวจราจรลูกรัง(ลงลูกรังในส่วนที่ชำรุดเสียหาย) สายบ้าน นส.พรภินันท์ ม.8 - หลุบงิ้ว</t>
  </si>
  <si>
    <t>17.ปรับปรุงผิวจราจรลูกรัง(ลงลูกรังในส่วนที่ชำรุดเสียหาย) สายบ้านหนองไผ่ -เต็งเตี้ย ม.15</t>
  </si>
  <si>
    <t>18.ปรับปรุงผิวจราจรลูกรัง(ลงลูกรังในส่วนที่ชำรุดเสียหาย) สายบ้านหนองไผ่ -โกรกตาแป้น ม.15</t>
  </si>
  <si>
    <t>19.ปรับปรุงผิวจราจรลูกรัง(ลงลูกรังในส่วนที่ชำรุดเสียหาย) สายสาลตาปู่ - หนองโสน ม.16</t>
  </si>
  <si>
    <t>20.ปรับปรุงผิวจราจรลูกรัง(ลงลูกรังในส่วนที่ชำรุดเสียหาย) สายสามแยกเต็งเตี้ย-นานายลอง ม.16</t>
  </si>
  <si>
    <t>21.ปรับปรุงผิวจราจรลูกรัง(ลงลูกรังในส่วนที่ชำรุดเสียหาย) สายดงผาสุข ม.16 - สระสี่เหลี่ยม</t>
  </si>
  <si>
    <t>22.ปรับปรุงผิวจราจรลูกรัง(ลงลูกรังในส่วนที่ชำรุดเสียหาย) สายบ้านกอก ม.2 (ห้วยกอก)-ไร่กอวิเศษ</t>
  </si>
  <si>
    <t>23.ปรับปรุงผิวจราจรลูกรัง(ลงลูกรังในส่วนที่ชำรุดเสียหาย) สายไร่นายจำนอง-ไร่นายบุญรวย ม.12</t>
  </si>
  <si>
    <t>24.ปรับปรุงผิวจราจรลูกรัง(ลงลูกรังในส่วนที่ชำรุดเสียหาย) สายหลังโรงเรียนบ้านทุ่งสว่างฯ ม.9</t>
  </si>
  <si>
    <t>25.ปรับปรุงผิวจราจรลูกรัง(ลงลูกรังในส่วนที่ชำรุดเสียหาย) สายสระสี่เหลี่ยม-หนองพง ม.14</t>
  </si>
  <si>
    <t>1.ปรับแต่งคันดินลำคันฉู (ช่วงนานายเส็ง สิงห์ลา) ม.11</t>
  </si>
  <si>
    <t>2.ปรับปรุงผิวจราจรลูกรัง (ปรับเกรดผิวจราจรลูกรัง)สายเลียบห้วยกอก ม.1,ม.4 (ช่วงที่1)</t>
  </si>
  <si>
    <t>3.ปรับปรุงผิวจราจรลูกรัง (ปรับเกรดผิวจราจรลูกรัง)สายบ้านนายบริจาค - ม.2(ช่วงที่1)</t>
  </si>
  <si>
    <t>4.ปรับปรุงผิวจราจรลูกรัง (ปรับเกรดผิวจราจรลูกรัง)สายบ้านกอกม.2ถึงไร่กอวิเศษ(ช่วง1)</t>
  </si>
  <si>
    <t>5.ปรับปรุงผิวจราจรลูกรัง (ปรับเกรดผิวจราจรลูกรัง)สายบ้านกอกม.2ถึงถนนอ่างเก็บน้ำ</t>
  </si>
  <si>
    <t>6.ปรับปรุงผิวจราจรลูกรัง (ปรับเกรดผิวจราจรลูกรัง)สายโนนทอง-ห้วยบงบ่า-โคกหมาหิว</t>
  </si>
  <si>
    <t>7.ปรับปรุงผิวจราจรลูกรัง (ปรับเกรดผิวจราจรลูกรัง)สายสำโรงทุ่ง - บ้านตลาด ม.4(ช.1)</t>
  </si>
  <si>
    <t>8.ปรับปรุงผิวจราจรลูกรัง (ปรับเกรดผิวจราจรลูกรัง)สายหลุบงิ้ว - หนองพง (ช่วงที่ 1)</t>
  </si>
  <si>
    <t>9.ปรับปรุงผิวจราจรลูกรัง (ปรับเกรดผิวจราจรลูกรัง)สายหลุบงิ้ว - คุ้มบาลาน (ช่วงที่ 1)</t>
  </si>
  <si>
    <t>10.ปรับปรุงผิวจราจรลูกรัง (ปรับเกรดผิวจราจรลูกรัง)สายวัดบ้านมะเกลือ (เลียบลำคันฉู)</t>
  </si>
  <si>
    <t>11.ปรับปรุงผิวจราจรลูกรัง (ปรับเกรดผิวจราจรลูกรัง)สายคอกหมูนายจัด-ลำคันฉู (ช.1)</t>
  </si>
  <si>
    <t>12.ปรับปรุงผิวจราจรลูกรัง (ปรับเกรดผิวจราจรลูกรัง)สายสระสี่เหลี่ยม -หนองไผ่ ม.7</t>
  </si>
  <si>
    <t>13.ปรับปรุงผิวจราจรลูกรัง (ปรับเกรดผิวจราจรลูกรัง)สายสระสี่เหลี่ยม -สระน้อย ม.7</t>
  </si>
  <si>
    <t>14.ปรับปรุงผิวจราจรลูกรัง (ปรับเกรดผิวจราจรลูกรัง)สายบ้านโนนสะอาด-เชื่อมต่อ ม.12</t>
  </si>
  <si>
    <t>15.ปรับปรุงผิวจราจรลูกรัง (ปรับเกรดผิวจราจรลูกรัง)สายบ้านน.ส.พรภินันท์-หลุบงิ้ว</t>
  </si>
  <si>
    <t>16.ปรับปรุงผิวจราจรลูกรัง (ปรับเกรดผิวจราจรลูกรัง)สายบ้านนายนิทัศน์-หนองไผ่ล้อม</t>
  </si>
  <si>
    <t>17.ปรับปรุงผิวจราจรลูกรัง (ปรับเกรดผิวจราจรลูกรัง)สายบ้านทุ่งสว่างฯ-บ.เต็งเตี้ย(ช.1)</t>
  </si>
  <si>
    <t>18.ปรับปรุงผิวจราจรลูกรัง (ปรับเกรดผิวจราจรลูกรัง)สายหลังรร.ทุ่งสว่างฯ-ม.9(ช่วงที่1)</t>
  </si>
  <si>
    <t>19.ปรับปรุงผิวจราจรลูกรัง (ปรับเกรดผิวจราจรลูกรัง)สายบ้านนายอ๊อต-สำโรงทุ่ง ม.9</t>
  </si>
  <si>
    <t>20.ปรับปรุงผิวจราจรลูกรัง (ปรับเกรดผิวจราจรลูกรัง)สายไร่กอวิเศษ-ลาดยาง ม.10(ช่วงที่1)</t>
  </si>
  <si>
    <t>21.ปรับปรุงผิวจราจรลูกรัง (ปรับเกรดผิวจราจรลูกรัง)สายบ้านคงคาล้อม(ลำคันฉู)ม.10(ช.1)</t>
  </si>
  <si>
    <t>22.ปรับปรุงผิวจราจรลูกรัง (ปรับเกรดผิวจราจรลูกรัง)สายตลาดหนองหมาใน-ห้วยน้อย ม.11</t>
  </si>
  <si>
    <t>23.ปรับปรุงผิวจราจรลูกรัง (ปรับเกรดผิวจราจรลูกรัง)สายโนนทอง - หนองผักแว่น ม.11</t>
  </si>
  <si>
    <t>24.ปรับปรุงผิวจราจรลูกรัง (ปรับเกรดผิวจราจรลูกรัง)สายทางรถไฟ-โนนสะอาด ม.12 (ช.2)</t>
  </si>
  <si>
    <t>25.ปรับปรุงผิวจราจรลูกรัง (ปรับเกรดผิวจราจรลูกรัง)สายไร่นายจำนอง-ไร่นายบุญรวย</t>
  </si>
  <si>
    <t>26.ปรับปรุงผิวจราจรลูกรัง (ปรับเกรดผิวจราจรลูกรัง)สายนางสมวงศ์-คุ้มโนนหัวช้าง (ช.1)</t>
  </si>
  <si>
    <t>27.ปรับปรุงผิวจราจรลูกรัง (ปรับเกรดผิวจราจรลูกรัง)สายบ้านนายยอทอง-ห้วยข่า ม.13</t>
  </si>
  <si>
    <t>28.ปรับปรุงผิวจราจรลูกรัง (ปรับเกรดผิวจราจรลูกรัง)สายบ้านสระสี่เหลี่ยม-หนองพง(ช่วง1)</t>
  </si>
  <si>
    <t>29.ปรับปรุงผิวจราจรลูกรัง (ปรับเกรดผิวจราจรลูกรัง)สายบ้านสระสี่เหลี่ยม-หนองยาใจ(ช.1)</t>
  </si>
  <si>
    <t>30.ปรับปรุงผิวจราจรลูกรัง (ปรับเกรดผิวจราจรลูกรัง)สายบ้านหนองไผ่-เต็งเตี้ย (ช่วงที่1)</t>
  </si>
  <si>
    <t>31.ปรับปรุงผิวจราจรลูกรัง (ปรับเกรดผิวจราจรลูกรัง)สายบ้านหนองไผ่-ดินเปล้า (ช่วงที่1)</t>
  </si>
  <si>
    <t>32.ปรับปรุงผิวจราจรลูกรัง (ปรับเกรดผิวจราจรลูกรัง)สายดงผาสุข - สระสี่เหลี่ยม (ช่วงที่1)</t>
  </si>
  <si>
    <t>33.ปรับปรุงผิวจราจรลูกรัง (ปรับเกรดผิวจราจรลูกรัง)สายสามแยกเต็งเตี้ย-นานายลอง(ช.1)</t>
  </si>
  <si>
    <t>34.ปรับปรุงผิวจราจรลูกรัง (ปรับเกรดผิวจราจรลูกรัง)สายหินขุคิ-นานายกองตา ม.17 (ช่วง1)</t>
  </si>
  <si>
    <t>35.ปรับปรุงผิวจราจรลูกรัง (ปรับเกรดผิวจราจรลูกรัง)สายหินขุคิ-โคกหมาหิว ม.17 (ช่วง1)</t>
  </si>
  <si>
    <t>36.ปรับปรุงผิวจราจรลูกรัง (ปรับเกรดผิวจราจรลูกรัง)สายโนนทอง(ป่าช้า)-ท่าช้าง ม.17(ช.1)</t>
  </si>
  <si>
    <t>37.ปรับปรุงผิวจราจรลูกรัง (ปรับเกรดผิวจราจรลูกรัง)สายโนนทอง(ท่าช้าง)-ท่าแตง ม.17(ช.1)</t>
  </si>
  <si>
    <t>38.ปรับปรุงผิวจราจรลูกรัง (ปรับเกรดผิวจราจรลูกรัง)สายไร่นางมา-ไร่นางสุน ม.3</t>
  </si>
  <si>
    <t>1.ขุดลอกคำห้วยกอกพร้อมปรับแต่งคันดิน ช่วงหลังฝาย-สระน้ำนานางสอิ้ง ม.1</t>
  </si>
  <si>
    <t>2.ขุดลอกห้วยสำโรงพร้อมปรับแต่งคันดิน ช่วงบ้านนายอ๊อด-นานางมาลัย ม.10</t>
  </si>
  <si>
    <t>ด้านโครงการพัฒนาแหล่งน้ำ เพื่อ</t>
  </si>
  <si>
    <t>อุปโภคบริโภคและน้ำเพื่อการเกษตร</t>
  </si>
  <si>
    <t xml:space="preserve">โครงการสนับสนุนการเสริมสร้างสวัสดิการทางสังคมให้แก่ผู้พิการหรือทุพพลภาพ </t>
  </si>
  <si>
    <t>ประจำปีงบประมาณ พ.ศ.2559 (เพิ่มเติม)</t>
  </si>
  <si>
    <t>การส่งเสริมพัฒนาคุณภาพ</t>
  </si>
  <si>
    <t>ชีวิต</t>
  </si>
  <si>
    <t>การส่งเสริมพัฒนา-</t>
  </si>
  <si>
    <t>คุณภาพชีวิต</t>
  </si>
  <si>
    <t>ปี  2562</t>
  </si>
  <si>
    <t>เงินฝากกระทรวงการคลัง</t>
  </si>
  <si>
    <t>ตั้งแต่วันที่ 1 ตุลาคม 2561 ถึง 30 กันยายน 2562</t>
  </si>
  <si>
    <t>ตั้งแต่วันที่  1 ตุลาคม 2561  ถึง 30 กันยายน 2562</t>
  </si>
  <si>
    <t>ตั้งแต่วันที่ 1 ตุลาคม 2561  ถึง  30  กันยายน  2562</t>
  </si>
  <si>
    <t>ตั้งแต่วันที่ 1 ตุลาคม 2561  ถึง  30 กันยายน 2562</t>
  </si>
  <si>
    <t>ตั้งแต่วันที่  1  ตุลาคม 2561  ถึง  30  กันยายน  2562</t>
  </si>
  <si>
    <t>ตั้งแต่วันที่ 1 ตุลาคม 2561   ถึง  30 กันยายน 2562</t>
  </si>
  <si>
    <t>ตั้งแต่วันที่ 1 ตุลาคม 2561  ถึง 30 กันยายน 2562</t>
  </si>
  <si>
    <t>2. เงินประจำตำแหน่งผู้อำนวยการกองช่าง</t>
  </si>
  <si>
    <t xml:space="preserve">3. รายจ่ายเพื่อบำรุงรักษาหรือซ่อมแซมทรัพย์สิน </t>
  </si>
  <si>
    <t>1.ตู้เหล็กเก็บเอกสาร (8 หลัง)</t>
  </si>
  <si>
    <t>1. เก้าอี้ทำงาน</t>
  </si>
  <si>
    <t>2. โต๊ะทำงาน</t>
  </si>
  <si>
    <t xml:space="preserve">1. โต๊ะทำงานเหล็ก </t>
  </si>
  <si>
    <t>1.ตู้เหล็กเก็บเอกสาร แบบ 2 บาน (2 หลัง)</t>
  </si>
  <si>
    <t>แผนงานสังคมสงเคราะห์ งานบริการทั่วไปเกี่ยวกับเคหะและชุมชน</t>
  </si>
  <si>
    <t>1. เคริ่องคอมพิวเตอร์โน๊ตบุ๊ค</t>
  </si>
  <si>
    <t>1.ตู้เหล็กเก็บเอกสาร แบบ 2 บาน (1 หลัง)</t>
  </si>
  <si>
    <t>2.เก้าอี้ทำงาน</t>
  </si>
  <si>
    <t>ผง.การเกษตร ง.ส่งเสริมการเกษตร</t>
  </si>
  <si>
    <t xml:space="preserve"> - โครงการก่อสร้างถนน คสล. สายสระใหม่-บ้านนายณรงค์ ม.3</t>
  </si>
  <si>
    <t xml:space="preserve"> - โครงการปรับปรุงผิวจราจรลูกรัง สำโรงทุ่ง - คงคาล้อม</t>
  </si>
  <si>
    <t xml:space="preserve"> - โครงการก่อสร้างถนน คสล.ม.5 (บ้านนางกองทรัพย์)</t>
  </si>
  <si>
    <t xml:space="preserve"> - โครงการก่อสร้างถนน คสล.ม.7 (บ้านนายสัมฤทธิ์)</t>
  </si>
  <si>
    <t xml:space="preserve"> - โครงการก่อสร้างถนนผิวจราจรลูกรัง อ่างเก็บน้ำห้วยทองหลาง ม.8</t>
  </si>
  <si>
    <t xml:space="preserve"> - โครงการก่อสร้างถนน คสล.ม.10 (บ้านนางคำพวง )</t>
  </si>
  <si>
    <t xml:space="preserve"> - โครงการก่อสร้างถนนผิวจราจรลูกรัง ม.11 (สายบ้านนายทวี)</t>
  </si>
  <si>
    <t xml:space="preserve"> - โครงการก่อสร้างถนน คสล.ม.12 (ซอยรวมใจ 7 )</t>
  </si>
  <si>
    <t xml:space="preserve"> - โครงการก่อสร้างถนน คสล.ม.13 (สายบ้านนางเฮียน)</t>
  </si>
  <si>
    <t xml:space="preserve"> - โครงการก่อสร้างถนน คสล.ม.14 (สายหน้าตาชั่ง)</t>
  </si>
  <si>
    <t xml:space="preserve"> - โครงการก่อสร้างผิวจราจรลูกรังม.15 (หนองไผ่-ดอนเปล้า)</t>
  </si>
  <si>
    <t xml:space="preserve"> - โครงการก่อสร้างถนน คสล.สายหลักในหมู่บ้าน ม.16</t>
  </si>
  <si>
    <t xml:space="preserve"> - โครงการก่อสร้างถนน คสล.ม.17 (ซ.เจริญพัฒนา)</t>
  </si>
  <si>
    <t xml:space="preserve"> - โครงการก่อสร้างถนนลูกรังบดอัด ม.6(หลังวัดบ้านมะเกลือ)</t>
  </si>
  <si>
    <t xml:space="preserve"> - โครงการขยายเขตไฟฟ้า ภายในที่ทำการ อบต.บ้านกอก</t>
  </si>
  <si>
    <t xml:space="preserve"> - โครงการปรับปรุงแนวเขตไฟฟ้าสาธารณะ ม.12-อบต.</t>
  </si>
  <si>
    <t xml:space="preserve"> - ค่าออกแบบ ค่าควบคุมที่จ่ายให้แก่เอกชน</t>
  </si>
  <si>
    <t xml:space="preserve"> - โครงการก่อสร้างฝายน้ำล้นลำห้วยผา ม.9 จุดที่ 1</t>
  </si>
  <si>
    <t>8. เงินสมทบกองทุนเงินทดแทน</t>
  </si>
  <si>
    <t xml:space="preserve">  1.3 โครงการฝึกอบรมและศึกษาดูงานการบริหารจัดการน้ำฯ</t>
  </si>
  <si>
    <t xml:space="preserve"> - โครงการปรับปรุงหลังคา ศพด.บ้านสระสี่เหลี่ยม ม.7</t>
  </si>
  <si>
    <t xml:space="preserve"> - โครงการติดตั้งหลังคา(กันสาด) ศพด.บ้านทุ่งสว่างวัฒนา ม.9</t>
  </si>
  <si>
    <t xml:space="preserve">   2.1 โครงการสนับสนุนและส่งเสริมอาชีพด้านการประมง ในน้ำมีปลาชาวประชามีสุข</t>
  </si>
  <si>
    <t xml:space="preserve">  1.3 โครงการปลูกต้นไม้เพิ่มพื้นที่สีเขียว</t>
  </si>
  <si>
    <t>แผนงานสาธารณสุข ง.บริหารทั่วไปเกี่ยวกับงานสาธารณสุข</t>
  </si>
  <si>
    <t xml:space="preserve"> - โครงการขุดลอกลำห้วยคลองจาน นานางแสงระวี-นานายพา ม.1</t>
  </si>
  <si>
    <t>2. เคริ่องสำรองไฟฟ้า (3 ชุด)</t>
  </si>
  <si>
    <t xml:space="preserve"> - โครงการก่อสร้างยกระดับถนนลูกรังสายบ้านนายสากล ม.5-ฟาร์มสุกร</t>
  </si>
  <si>
    <t xml:space="preserve"> - โครงการก่อสร้างถนน คสล.สายสามแยกศาลเจ้าพ่อกำแหง ม.17</t>
  </si>
  <si>
    <t xml:space="preserve"> - โครงการก่อสร้างถนน คสล.ภายในหมู่บ้าน (บ้านน.ส.มาริน-บ้านนายโฮ่)ม.15</t>
  </si>
  <si>
    <t>ค่าวัสดุอื่น</t>
  </si>
  <si>
    <t>1.  กรวยจราจรขนาดมาตรฐาน</t>
  </si>
  <si>
    <t xml:space="preserve"> - โครงการก่อสร้างรางระบายน้ำ คสล.ช่วงบ้านนายสามารถ -นายสง่า ม.6</t>
  </si>
  <si>
    <t xml:space="preserve"> - โครงการก่อสร้างถนน คสล.ม.9 (บ้านนายประจวบ-บ้านนายสุชาติ)</t>
  </si>
  <si>
    <t xml:space="preserve"> - โครงการปรับปรุงถนนลงลูกรัง ม.11 (บ้านนางบู่-บ้านนายตรึงจิตร)</t>
  </si>
  <si>
    <t xml:space="preserve">   2.1 โครงการส่งเสริมการจัดระบบการกำจัดขยะในครัวเรือน</t>
  </si>
  <si>
    <t xml:space="preserve">  3.3 คชจ.ในการรณรงค์ป้องกันและควบคุมโรคไข้เลือดออกและไข้ซิกา</t>
  </si>
  <si>
    <t>ครุภัณฑ์การศึกษา</t>
  </si>
  <si>
    <t>1.โครงการพัฒนาคุณภาพการศึกษา (DLTV)</t>
  </si>
  <si>
    <t xml:space="preserve"> - อุดหนุนโครงการพระราชดำริด้านสาธารณสุขมูลฐาน ม.1-ม.17 </t>
  </si>
  <si>
    <t xml:space="preserve"> - รายจ่ายอื่น</t>
  </si>
  <si>
    <t xml:space="preserve"> - ครุภัณฑ์การศึกษา</t>
  </si>
  <si>
    <t xml:space="preserve"> - ค่าครุภัณฑ์อื่น (กรวยจราจรมาตรฐาน)</t>
  </si>
  <si>
    <t>ที่ดิน</t>
  </si>
  <si>
    <t xml:space="preserve">    ที่ดินที่มีกรรมสิทธิ์</t>
  </si>
  <si>
    <t>อาคาร</t>
  </si>
  <si>
    <t xml:space="preserve">   อาคารสำนักงาน อบต.</t>
  </si>
  <si>
    <t>สิ่งปลูกสร้าง</t>
  </si>
  <si>
    <t>เงินที่มีผู้อุทิศให้</t>
  </si>
  <si>
    <t>รับโอน</t>
  </si>
  <si>
    <t>ฯลฯ</t>
  </si>
  <si>
    <t>ครุภัณฑ์</t>
  </si>
  <si>
    <t>สินทรัพย์โครงสร้างพื้นฐาน</t>
  </si>
  <si>
    <t xml:space="preserve">   ถนน</t>
  </si>
  <si>
    <t xml:space="preserve">   สะพาน</t>
  </si>
  <si>
    <t>สินทรัพย์ไม่มีตัวตน</t>
  </si>
  <si>
    <t xml:space="preserve">   โปรแกรมคอมพิวเตอร์</t>
  </si>
  <si>
    <t xml:space="preserve">   สินทรัพยืไม่มีตัวตนอื่น</t>
  </si>
  <si>
    <t>อสังหาริมทรัพย์เพื่อการลงทุน</t>
  </si>
  <si>
    <t xml:space="preserve">   อสังหาริมทรัพย์เพื่อการลงทุน-ที่ดิน</t>
  </si>
  <si>
    <t>สินทรัพย์ - ภายใจ้สัญญาเช่าการเงิน</t>
  </si>
  <si>
    <t xml:space="preserve">   อาคาร-ภายใต้สัญญาเช่าการเงิน</t>
  </si>
  <si>
    <t>หมายเหตุ 4 เงินฝากกระทรวงการคลัง</t>
  </si>
  <si>
    <t>หมายเหตุ  5 รายได้จากรัฐบาลค้างรับ</t>
  </si>
  <si>
    <t>หมายเหตุ  11  เงินสะสม</t>
  </si>
  <si>
    <t>สำหรับปี สิ้นสุด วันที่  30  กันยายน  2562</t>
  </si>
  <si>
    <t>มีจำนวนประชากรทั้งสิ้น   6,873  คน  ชาย  3,391  คน  หญิง  3,482  คน</t>
  </si>
  <si>
    <t>หมายเหตุ  6  ลูกหนี้ค่าภาษี</t>
  </si>
  <si>
    <t>หมายเหตุ  7 ลูกหนี้เงินทุนโครงการเศรษฐกิจ</t>
  </si>
  <si>
    <t>หมายเหตุ  8  ลูกหนี้อี่นๆ</t>
  </si>
  <si>
    <t>หมายเหตุ  9  รายจ่ายค้างจ่าย</t>
  </si>
  <si>
    <t>รายละเอียดแนบท้ายหมายเหตุ  12  เงินสะสม</t>
  </si>
  <si>
    <t>2562</t>
  </si>
  <si>
    <t>เงินสะสม  1  ตุลาคม 2561</t>
  </si>
  <si>
    <r>
      <rPr>
        <u/>
        <sz val="14"/>
        <color theme="1"/>
        <rFont val="TH SarabunPSK"/>
        <family val="2"/>
      </rPr>
      <t>หัก</t>
    </r>
    <r>
      <rPr>
        <sz val="14"/>
        <color theme="1"/>
        <rFont val="TH SarabunPSK"/>
        <family val="2"/>
      </rPr>
      <t xml:space="preserve">  15 % ของรายรับจริงสูงกว่ารายจ่ายจริง</t>
    </r>
  </si>
  <si>
    <t>รับคืนเงินสะสม</t>
  </si>
  <si>
    <t>เงินสะสม  30  กันยายน   2562</t>
  </si>
  <si>
    <t>เงินสะสม  30  กันยายน 2562  ประกอบด้วย</t>
  </si>
  <si>
    <t>ตั้งแต่วันที่  1  ตุลาคม  2561  ถึง  30  กันยายน  2562</t>
  </si>
  <si>
    <t>ตั้งแต่วันที่  1  ตุลาคม  2561  ถึงวันที่  30  กันยายน  2562</t>
  </si>
  <si>
    <t>โต๊ะขาวแบบพับขา</t>
  </si>
  <si>
    <t>เครื่องโทรสารแบบใช้กระดาษธรรมดา</t>
  </si>
  <si>
    <t>เครื่องคอมพิวเตอร์โน๊ตบุก สำหรับประมวลผล</t>
  </si>
  <si>
    <t>เครื่องคอมพิวเตอร์สำหรับสำนักงาน</t>
  </si>
  <si>
    <t>เครื่องพิมพ์แบบฉีดกร้อมหมึกติดตั้งถังพิมพ์ (Ink Tank Printer)</t>
  </si>
  <si>
    <t>เครื่องสำรองไฟฟ้า</t>
  </si>
  <si>
    <t>อุปกรณ์อ่านบัตรแบบอเนกประสงค์</t>
  </si>
  <si>
    <t>กรวยจราจรมาตรฐาน คาดแถบสะท้อนแสง</t>
  </si>
  <si>
    <t>ทีวีระบบดิจิตอล ขนาด 55 นิ้ว (DLTV)</t>
  </si>
  <si>
    <t>รายละเอียดประกอบงบแสดงผลการดำเนินงานจ่ายจากเงินรายรับและเงินสะสม (2562)</t>
  </si>
  <si>
    <t>ปรับปรุงผิวจราจรลูกรัง (ลงลูกรังในส่วนที่ชำรุดเสียหายสาย) เลียบห้วยกอก ม.1</t>
  </si>
  <si>
    <t>ปรับปรุงผิวจราจรลูกรัง(ลงลูกรังในส่วนที่ชำรุดเสียหาย)สายโนนทอง -โคกโต่งโต้น-ห้วยบงบ่า ม.3</t>
  </si>
  <si>
    <t>ปรับปรุงผิวจราจรลูกรัง(ลงลูกรังในส่วนที่ชำรุดเสียหาย) สายไร่กอวิเศษ ม.10</t>
  </si>
  <si>
    <t>ปรับปรุงผิวจราจรลูกรัง(ลงลูกรังในส่วนที่ชำรุดเสียหาย) สายถนนบ้านนางสมวงศ์-คุ้มโนนหัวช้าง ม.13</t>
  </si>
  <si>
    <t>ปรับปรุงผิวจราจรลูกรัง(ลงลูกรังในส่วนที่ชำรุดเสียหาย) สายบ้านนายยอทอง-ห้วยข่า ม.13</t>
  </si>
  <si>
    <t>ปรับปรุงผิวจราจรลูกรัง(ลงลูกรังในส่วนที่ชำรุดเสียหาย) สายหินขุคิ-นานายกองตา ม.17</t>
  </si>
  <si>
    <t>ปรับปรุงผิวจราจรลูกรัง(ลงลูกรังในส่วนที่ชำรุดเสียหาย) สายหินขุคิ-โคกหมาหิว ม.17</t>
  </si>
  <si>
    <t>ปรับปรุงผิวจราจรลูกรัง(ลงลูกรังในส่วนที่ชำรุดเสียหาย) สายโนนทอง(ป่าช้า)-ท่าช้าง ม.17</t>
  </si>
  <si>
    <t>ปรับปรุงผิวจราจรลูกรัง(ลงลูกรังในส่วนที่ชำรุดเสียหาย) สายโนนทองท่าช้าง- ท่าแตง ม.17</t>
  </si>
  <si>
    <t>ปรับปรุงผิวจราจรลูกรัง(ลงลูกรังในส่วนที่ชำรุดเสียหาย) สายบ้านหลุบงิ้ว-คุ้มบาลาน ม.5</t>
  </si>
  <si>
    <t>ปรับปรุงผิวจราจรลูกรัง(ลงลูกรังในส่วนที่ชำรุดเสียหาย) สายบ้านหลุบงิ้ว-หนองพง ม.5</t>
  </si>
  <si>
    <t>ปรับปรุงผิวจราจรลูกรัง(ลงลูกรังในส่วนที่ชำรุดเสียหาย) สายสระสี่เหลี่ยม ม.7-หนองไผ่</t>
  </si>
  <si>
    <t>ปรับปรุงผิวจราจรลูกรัง(ลงลูกรังในส่วนที่ชำรุดเสียหาย) สายสระสี่เหลี่ยม ม.7-สระน้อย(ฟาร์มไก่)</t>
  </si>
  <si>
    <t>ปรับปรุงผิวจราจรลูกรัง(ลงลูกรังในส่วนที่ชำรุดเสียหาย) สายบ้านนายนิทัศน์ ม.8-หนองไผ่ล้อม</t>
  </si>
  <si>
    <t>ปรับปรุงผิวจราจรลูกรัง(ลงลูกรังในส่วนที่ชำรุดเสียหาย) สายบ้านโนนสะอาด ม.8 เชื่อมต่อ ม.12</t>
  </si>
  <si>
    <t>ปรับปรุงผิวจราจรลูกรัง(ลงลูกรังในส่วนที่ชำรุดเสียหาย) สายบ้าน นส.พรภินันท์ ม.8 - หลุบงิ้ว</t>
  </si>
  <si>
    <t>ปรับปรุงผิวจราจรลูกรัง(ลงลูกรังในส่วนที่ชำรุดเสียหาย) สายบ้านหนองไผ่ -เต็งเตี้ย ม.15</t>
  </si>
  <si>
    <t>ปรับปรุงผิวจราจรลูกรัง(ลงลูกรังในส่วนที่ชำรุดเสียหาย) สายบ้านหนองไผ่ -โกรกตาแป้น ม.15</t>
  </si>
  <si>
    <t>ปรับปรุงผิวจราจรลูกรัง(ลงลูกรังในส่วนที่ชำรุดเสียหาย) สายสาลตาปู่ - หนองโสน ม.16</t>
  </si>
  <si>
    <t>ปรับปรุงผิวจราจรลูกรัง(ลงลูกรังในส่วนที่ชำรุดเสียหาย) สายสามแยกเต็งเตี้ย-นานายลอง ม.16</t>
  </si>
  <si>
    <t>ปรับปรุงผิวจราจรลูกรัง(ลงลูกรังในส่วนที่ชำรุดเสียหาย) สายดงผาสุข ม.16 - สระสี่เหลี่ยม</t>
  </si>
  <si>
    <t>ปรับปรุงผิวจราจรลูกรัง(ลงลูกรังในส่วนที่ชำรุดเสียหาย) สายบ้านกอก ม.2 (ห้วยกอก)-ไร่กอวิเศษ</t>
  </si>
  <si>
    <t>ปรับปรุงผิวจราจรลูกรัง(ลงลูกรังในส่วนที่ชำรุดเสียหาย) สายไร่นายจำนอง-ไร่นายบุญรวย ม.12</t>
  </si>
  <si>
    <t>ปรับปรุงผิวจราจรลูกรัง(ลงลูกรังในส่วนที่ชำรุดเสียหาย) สายหลังโรงเรียนบ้านทุ่งสว่างฯ ม.9</t>
  </si>
  <si>
    <t>ปรับปรุงผิวจราจรลูกรัง(ลงลูกรังในส่วนที่ชำรุดเสียหาย) สายสระสี่เหลี่ยม-หนองพง ม.14</t>
  </si>
  <si>
    <t>ปรับแต่งคันดินลำคันฉู (ช่วงนานายเส็ง สิงห์ลา) ม.11</t>
  </si>
  <si>
    <t>ปรับปรุงผิวจราจรลูกรัง (ปรับเกรดผิวจราจรลูกรัง)สายเลียบห้วยกอก ม.1,ม.4 (ช่วงที่1)</t>
  </si>
  <si>
    <t>ปรับปรุงผิวจราจรลูกรัง (ปรับเกรดผิวจราจรลูกรัง)สายบ้านนายบริจาค - ม.2(ช่วงที่1)</t>
  </si>
  <si>
    <t>ปรับปรุงผิวจราจรลูกรัง (ปรับเกรดผิวจราจรลูกรัง)สายบ้านกอกม.2ถึงไร่กอวิเศษ(ช่วง1)</t>
  </si>
  <si>
    <t>ปรับปรุงผิวจราจรลูกรัง (ปรับเกรดผิวจราจรลูกรัง)สายบ้านกอกม.2ถึงถนนอ่างเก็บน้ำ</t>
  </si>
  <si>
    <t>ปรับปรุงผิวจราจรลูกรัง (ปรับเกรดผิวจราจรลูกรัง)สายโนนทอง-ห้วยบงบ่า-โคกหมาหิว</t>
  </si>
  <si>
    <t>ปรับปรุงผิวจราจรลูกรัง (ปรับเกรดผิวจราจรลูกรัง)สายสำโรงทุ่ง - บ้านตลาด ม.4(ช.1)</t>
  </si>
  <si>
    <t>ปรับปรุงผิวจราจรลูกรัง (ปรับเกรดผิวจราจรลูกรัง)สายหลุบงิ้ว - หนองพง (ช่วงที่ 1)</t>
  </si>
  <si>
    <t>ปรับปรุงผิวจราจรลูกรัง (ปรับเกรดผิวจราจรลูกรัง)สายหลุบงิ้ว - คุ้มบาลาน (ช่วงที่ 1)</t>
  </si>
  <si>
    <t>ปรับปรุงผิวจราจรลูกรัง (ปรับเกรดผิวจราจรลูกรัง)สายวัดบ้านมะเกลือ (เลียบลำคันฉู)</t>
  </si>
  <si>
    <t>ปรับปรุงผิวจราจรลูกรัง (ปรับเกรดผิวจราจรลูกรัง)สายคอกหมูนายจัด-ลำคันฉู (ช.1)</t>
  </si>
  <si>
    <t>ปรับปรุงผิวจราจรลูกรัง (ปรับเกรดผิวจราจรลูกรัง)สายสระสี่เหลี่ยม -หนองไผ่ ม.7</t>
  </si>
  <si>
    <t>ปรับปรุงผิวจราจรลูกรัง (ปรับเกรดผิวจราจรลูกรัง)สายสระสี่เหลี่ยม -สระน้อย ม.7</t>
  </si>
  <si>
    <t>ปรับปรุงผิวจราจรลูกรัง (ปรับเกรดผิวจราจรลูกรัง)สายบ้านโนนสะอาด-เชื่อมต่อ ม.12</t>
  </si>
  <si>
    <t>ปรับปรุงผิวจราจรลูกรัง (ปรับเกรดผิวจราจรลูกรัง)สายบ้านน.ส.พรภินันท์-หลุบงิ้ว</t>
  </si>
  <si>
    <t>ปรับปรุงผิวจราจรลูกรัง (ปรับเกรดผิวจราจรลูกรัง)สายบ้านนายนิทัศน์-หนองไผ่ล้อม</t>
  </si>
  <si>
    <t>ปรับปรุงผิวจราจรลูกรัง (ปรับเกรดผิวจราจรลูกรัง)สายบ้านทุ่งสว่างฯ-บ.เต็งเตี้ย(ช.1)</t>
  </si>
  <si>
    <t>ปรับปรุงผิวจราจรลูกรัง (ปรับเกรดผิวจราจรลูกรัง)สายหลังรร.ทุ่งสว่างฯ-ม.9(ช่วงที่1)</t>
  </si>
  <si>
    <t>ปรับปรุงผิวจราจรลูกรัง (ปรับเกรดผิวจราจรลูกรัง)สายบ้านนายอ๊อต-สำโรงทุ่ง ม.9</t>
  </si>
  <si>
    <t>ปรับปรุงผิวจราจรลูกรัง (ปรับเกรดผิวจราจรลูกรัง)สายไร่กอวิเศษ-ลาดยาง ม.10(ช่วงที่1)</t>
  </si>
  <si>
    <t>ปรับปรุงผิวจราจรลูกรัง (ปรับเกรดผิวจราจรลูกรัง)สายบ้านคงคาล้อม(ลำคันฉู)ม.10(ช.1)</t>
  </si>
  <si>
    <t>ปรับปรุงผิวจราจรลูกรัง (ปรับเกรดผิวจราจรลูกรัง)สายตลาดหนองหมาใน-ห้วยน้อย ม.11</t>
  </si>
  <si>
    <t>ปรับปรุงผิวจราจรลูกรัง (ปรับเกรดผิวจราจรลูกรัง)สายโนนทอง - หนองผักแว่น ม.11</t>
  </si>
  <si>
    <t>ปรับปรุงผิวจราจรลูกรัง (ปรับเกรดผิวจราจรลูกรัง)สายทางรถไฟ-โนนสะอาด ม.12 (ช.2)</t>
  </si>
  <si>
    <t>ปรับปรุงผิวจราจรลูกรัง (ปรับเกรดผิวจราจรลูกรัง)สายไร่นายจำนอง-ไร่นายบุญรวย</t>
  </si>
  <si>
    <t>ปรับปรุงผิวจราจรลูกรัง (ปรับเกรดผิวจราจรลูกรัง)สายนางสมวงศ์-คุ้มโนนหัวช้าง (ช.1)</t>
  </si>
  <si>
    <t>ปรับปรุงผิวจราจรลูกรัง (ปรับเกรดผิวจราจรลูกรัง)สายบ้านนายยอทอง-ห้วยข่า ม.13</t>
  </si>
  <si>
    <t>ปรับปรุงผิวจราจรลูกรัง (ปรับเกรดผิวจราจรลูกรัง)สายบ้านสระสี่เหลี่ยม-หนองพง(ช่วง1)</t>
  </si>
  <si>
    <t>ปรับปรุงผิวจราจรลูกรัง (ปรับเกรดผิวจราจรลูกรัง)สายบ้านสระสี่เหลี่ยม-หนองยาใจ(ช.1)</t>
  </si>
  <si>
    <t>ปรับปรุงผิวจราจรลูกรัง (ปรับเกรดผิวจราจรลูกรัง)สายบ้านหนองไผ่-เต็งเตี้ย (ช่วงที่1)</t>
  </si>
  <si>
    <t>ปรับปรุงผิวจราจรลูกรัง (ปรับเกรดผิวจราจรลูกรัง)สายบ้านหนองไผ่-ดินเปล้า (ช่วงที่1)</t>
  </si>
  <si>
    <t>ปรับปรุงผิวจราจรลูกรัง (ปรับเกรดผิวจราจรลูกรัง)สายดงผาสุข - สระสี่เหลี่ยม (ช่วงที่1)</t>
  </si>
  <si>
    <t>ปรับปรุงผิวจราจรลูกรัง (ปรับเกรดผิวจราจรลูกรัง)สายสามแยกเต็งเตี้ย-นานายลอง(ช.1)</t>
  </si>
  <si>
    <t>ปรับปรุงผิวจราจรลูกรัง (ปรับเกรดผิวจราจรลูกรัง)สายหินขุคิ-นานายกองตา ม.17 (ช่วง1)</t>
  </si>
  <si>
    <t>ปรับปรุงผิวจราจรลูกรัง (ปรับเกรดผิวจราจรลูกรัง)สายหินขุคิ-โคกหมาหิว ม.17 (ช่วง1)</t>
  </si>
  <si>
    <t>ปรับปรุงผิวจราจรลูกรัง (ปรับเกรดผิวจราจรลูกรัง)สายโนนทอง(ป่าช้า)-ท่าช้าง ม.17(ช.1)</t>
  </si>
  <si>
    <t>ปรับปรุงผิวจราจรลูกรัง (ปรับเกรดผิวจราจรลูกรัง)สายโนนทอง(ท่าช้าง)-ท่าแตง ม.17(ช.1)</t>
  </si>
  <si>
    <t>ปรับปรุงผิวจราจรลูกรัง (ปรับเกรดผิวจราจรลูกรัง)สายไร่นางมา-ไร่นางสุน ม.3</t>
  </si>
  <si>
    <t>ขุดลอกคำห้วยกอกพร้อมปรับแต่งคันดิน ช่วงหลังฝาย-สระน้ำนานางสอิ้ง ม.1</t>
  </si>
  <si>
    <t>ขุดลอกห้วยสำโรงพร้อมปรับแต่งคันดิน ช่วงบ้านนายอ๊อด-นานางมาลัย ม.10</t>
  </si>
  <si>
    <t>รายจ่ายจากเงินสะสม</t>
  </si>
  <si>
    <t>งบแสดงผลการดำเนินงานที่จ่ายจากเงินรายรับ เงินสะสมและเงินทุนสำรองเงินสะสม</t>
  </si>
  <si>
    <t>รายจ่ายจากเงินทุนสำรองเงินสะสม</t>
  </si>
  <si>
    <t>งบแสดงผลการดำเนินงานที่จ่ายจากเงินรายรับ เงินสะสม เงินทุนสำรองเงินสะสมและเงินกู้</t>
  </si>
  <si>
    <t>ณ  วันที่  30  กันยายน  2562</t>
  </si>
  <si>
    <t>ตั้งแต่วันที่  1  ตุลาคม  2561    ถึงวันที่  30  กันยายน  2562</t>
  </si>
  <si>
    <t>รายได้จัดเก็บเอง</t>
  </si>
  <si>
    <t>41000000</t>
  </si>
  <si>
    <t>หมวดภาษีอากร</t>
  </si>
  <si>
    <t>41100000</t>
  </si>
  <si>
    <t>ภาษีโรงเรือนและที่ดิน</t>
  </si>
  <si>
    <t>ภาษีบำรุงท้องที่</t>
  </si>
  <si>
    <t>ภาษีป้าย</t>
  </si>
  <si>
    <t>41100003</t>
  </si>
  <si>
    <t>หมวดค่าธรรมเนียม ค่าปรับและใบอนุญาต</t>
  </si>
  <si>
    <t>41200000</t>
  </si>
  <si>
    <t>ค่าธรรมเนียมเกี่ยวกับใบอนุญาตการพนัน</t>
  </si>
  <si>
    <t>ค่าธรรมเนียมเกี่ยวกับการควบคุมอาคาร</t>
  </si>
  <si>
    <t>ค่าธรรมเนียมเก็บและขนขยะมูลฝอย</t>
  </si>
  <si>
    <t>ค่าธรรมเนียมจดทะเบียนพาณิชย์</t>
  </si>
  <si>
    <t>ค่าธรรมเนียมอื่น ๆ</t>
  </si>
  <si>
    <t>41219999</t>
  </si>
  <si>
    <t>ค่าปรับผู้กระทำความผิดตาม พ.ร.บ.จราจรฯ</t>
  </si>
  <si>
    <t>41220000</t>
  </si>
  <si>
    <t>ค่าปรับผิดสัญญาจ้าง</t>
  </si>
  <si>
    <t>ค่าใบอนุญาตทำการเก็บ ขน หรือกำจัดสิ่งปฏิกูลมูลฝอย</t>
  </si>
  <si>
    <t>41230001</t>
  </si>
  <si>
    <t>ค่าใบอนุญาตประกอบการค้าสำหรับกิจการที่เป็นอันตรายต่อสุขภาพ</t>
  </si>
  <si>
    <t>ค่าใบอนุญาตเกี่ยวกับการควบคุมอาคาร</t>
  </si>
  <si>
    <t>41230007</t>
  </si>
  <si>
    <t>ค่าธรรมเนียมเกี่ยวกับใบอนุญาตการขายสุรา</t>
  </si>
  <si>
    <t>หมวดรายได้จากทรัพย์สิน</t>
  </si>
  <si>
    <t>41300000</t>
  </si>
  <si>
    <t>ดอกเบี้ยเงินฝากธนาคาร</t>
  </si>
  <si>
    <t>หมวดรายได้เบ็ดเตล็ด</t>
  </si>
  <si>
    <t>41500000</t>
  </si>
  <si>
    <t>ค่าขายแบบแปลน</t>
  </si>
  <si>
    <t>41500004</t>
  </si>
  <si>
    <t>รายได้เบ็ดเตล็ดอื่น ๆ</t>
  </si>
  <si>
    <t>41599999</t>
  </si>
  <si>
    <t>หมวดรายได้จากทุน</t>
  </si>
  <si>
    <t>41600000</t>
  </si>
  <si>
    <t>ค่าขายทอดตลาดทรัพย์สิน</t>
  </si>
  <si>
    <t>41600001</t>
  </si>
  <si>
    <t>รายได้ที่รัฐบาลเก็บแล้วจัดสรรให้องค์กรปกครองส่วนท้องถิ่น</t>
  </si>
  <si>
    <t>42000000</t>
  </si>
  <si>
    <t>หมวดภาษีจัดสรร</t>
  </si>
  <si>
    <t>42100000</t>
  </si>
  <si>
    <t>ภาษีและค่าธรรมเนียมรถยนต์และล้อเลื่อน</t>
  </si>
  <si>
    <t>42100001</t>
  </si>
  <si>
    <t>ภาษีมูลค่าเพิ่มตาม พ.ร.บ. กำหนดแผนฯ</t>
  </si>
  <si>
    <t>42100002</t>
  </si>
  <si>
    <t>ภาษีมูลค่าเพิ่มตาม พ.ร.บ. จัดสรรรายได้ฯ (1 ใน 9)</t>
  </si>
  <si>
    <t>42100004</t>
  </si>
  <si>
    <t>ภาษีธุรกิจเฉพาะ</t>
  </si>
  <si>
    <t>42100005</t>
  </si>
  <si>
    <t>ภาษีสุรา</t>
  </si>
  <si>
    <t>42100006</t>
  </si>
  <si>
    <t>ภาษีสรรพสามิต</t>
  </si>
  <si>
    <t>42100007</t>
  </si>
  <si>
    <t>ค่าภาคหลวงแร่</t>
  </si>
  <si>
    <t>42100012</t>
  </si>
  <si>
    <t>ภาคหลวงปิโตเลียม</t>
  </si>
  <si>
    <t>42100013</t>
  </si>
  <si>
    <t>ค่าธรรมเนียมจดทะเบียนสิทธิและนิติกรรมที่ดิน</t>
  </si>
  <si>
    <t>42100015</t>
  </si>
  <si>
    <t>ค่าธรรมเนียมและค่าใช้น้ำบาดาล</t>
  </si>
  <si>
    <t>42100017</t>
  </si>
  <si>
    <t>ภาษีจัดสรรอื่น ๆ</t>
  </si>
  <si>
    <t>รายได้ที่รัฐบาลอุดหนุนให้องค์กรปกครองส่วนท้องถิ่น</t>
  </si>
  <si>
    <t>43000000</t>
  </si>
  <si>
    <t>หมวดเงินอุดหนุน</t>
  </si>
  <si>
    <t>43100000</t>
  </si>
  <si>
    <t>เงินอุดหนุนทั่วไป สำหรับดำเนินการตามอำนาจหน้าที่ฯ</t>
  </si>
  <si>
    <t>43100002</t>
  </si>
  <si>
    <t>43100003</t>
  </si>
  <si>
    <t>รายได้ที่รัฐบาลอุดหนุนให้โดยระบุวัตถุประสงค์/เฉพาะกิจ</t>
  </si>
  <si>
    <t>44000000</t>
  </si>
  <si>
    <t>หมวดเงินอุดหนุนระบุวัตถุประสงค์/เฉพาะกิจ</t>
  </si>
  <si>
    <t>44100000</t>
  </si>
  <si>
    <t>1</t>
  </si>
  <si>
    <t>เงินอุดหนุนระบุวัตถุประสงค์/เฉพาะกิจจากกรมส่งเสริมฯ</t>
  </si>
  <si>
    <t xml:space="preserve"> ณ  วันที่   30  กันยายน  2562</t>
  </si>
  <si>
    <t>(หมายเหตุ  1)</t>
  </si>
  <si>
    <t>เงินอุดหนุนทั่วไป - เบี้ยยังชีพผู้พิการ ปี2560 (เพิ่มเติม)</t>
  </si>
  <si>
    <t xml:space="preserve">งบทดลอง </t>
  </si>
  <si>
    <t>ยอดยกมา</t>
  </si>
  <si>
    <t>เดบิต</t>
  </si>
  <si>
    <t>รายการระหว่างเดือน</t>
  </si>
  <si>
    <t>ยอดยกไป</t>
  </si>
  <si>
    <t>21040008</t>
  </si>
  <si>
    <t xml:space="preserve"> 42100004</t>
  </si>
  <si>
    <t>โครงการซ่อมสร้างผิวทางจราจรลูกรังสายสามแยกสาธารณะ-นานายสมาน ม.3</t>
  </si>
  <si>
    <t>โครงการซ่อมสร้างผิวทางจราจรลูกรังภายในหมู่บ้าน ม.7-สายฟาร์มไก่</t>
  </si>
  <si>
    <t>โครงการซ่อมสร้างผิวทางจราจรลูกรังภายในหมู่บ้าน ม.7-บ้านหนองไผ่</t>
  </si>
  <si>
    <t>โครงการซ่อมสร้างผิวทางจราจรลูกรังบ้านโนนสะอาด ม.8-บ้านหนองบัวใหญ่</t>
  </si>
  <si>
    <t>โครงการซ่อมสร้างผิวทางจราจรลูกรังบ้านโนนสะอาด ม.8-ถนนลาดยางบ้านหลุบงิ้ว</t>
  </si>
  <si>
    <t>โครงการปรับปรุงผิวจราจรลูกรังถนนเพื่อการเกษตรสายบ้านทุ่งสว่างม.9-บ.เต็งเตี้ย</t>
  </si>
  <si>
    <t>โครงการปรับปรุงผิวจราจรลูกรังถนนเพื่อการเกษตรรอบหมู่บ้านม.9(นายบุญประเสริฐ-นานายยงต์)</t>
  </si>
  <si>
    <t>โครงการซ่อมสร้างผิวทางจราจรลูกรังสายหลังรร.บ้านทุ่งส่วาง ม.9</t>
  </si>
  <si>
    <t>โครงการซ่อมสร้างผิวทางจราจรลูกรังสายถนนบ้านนายอ๊อดม.10-บ.สำโรงทุ่ง</t>
  </si>
  <si>
    <t>โครงการซ่อมสร้างผิวทางจราจรลูกรังสายไร่กอวิเศษ บ.คงคาล้อม ม.10</t>
  </si>
  <si>
    <t>โครงการซ่อมสร้างผิวทางจราจรลูกรังถนนบ้านนายสุภี-โนนหัวช้าง ม.13</t>
  </si>
  <si>
    <t>โครงการปรับปรุงผิวจราจรถนนเพื่อการเกษตรสายบ.สระสี่เหลี่ยมม.14-หนองยาใจ</t>
  </si>
  <si>
    <t>โครงการปรับปรุงผิวจราจรถนนเพื่อการเกษตรสายบ.สระสี่เหลี่ยมม.14-หนองพง</t>
  </si>
  <si>
    <t>โครงการปรับปรุงผิวจราจรถนนเพื่อการเกษตรสายบ.สระสี่เหลี่ยมม.14-หนองแห้ง</t>
  </si>
  <si>
    <t>โครงการปรับปรุงผิวจราจรถนนเพื่อการเกษตรสายบ.ดงผาสุข ม.16-บ.สระสี่เหลี่ยมม.14</t>
  </si>
  <si>
    <t>โครงการปรับปรุงผิวจราจรถนนเพื่อการเกษตรสายศาลปู่ตา-หนองโสน ม.16</t>
  </si>
  <si>
    <t>โครงการปรับปรุงผิวจราจรถนนเพื่อการเกษตรสายนานายลอง-สายแยกเต็งเตี้ย ม.16</t>
  </si>
  <si>
    <t>โครงการปรับปรุงผิวจราจรถนนเพื่อการเกษตรสายบ้านดงผาสุข-ท่าลึก ม.16</t>
  </si>
  <si>
    <t>โครงการซ่อมสร้างผิวทางจราจรลูกรังสายนานายประทวน-นานายอูด ม.17</t>
  </si>
  <si>
    <t>โครงการซ่อมสร้างผิวทางจราจรลูกรังสายหินคุขิ - นานายกองตา ม.17</t>
  </si>
  <si>
    <t>โครงการกอ่สร้างบล็อคคอนเวิร์ส สายบ้านดงผาสุข ม.16-บ้านทุ่งสว่างฯ(ท่าลึก)</t>
  </si>
  <si>
    <t>หมายเหตุ  1. ยอดยกมาและยอดยกไป ให้แสดงยอดคงเหลือตามหลักการบัญชีทางด้านเดบิต หรือเครดิต เพียงด้านเดียว</t>
  </si>
  <si>
    <t>หมายเหตุ  10 เงินรับฝาก</t>
  </si>
  <si>
    <t>1. อุปกรณ์แบบอเนกประสงค์ (Smart Card Reader)</t>
  </si>
  <si>
    <t>แผนงานสังคมสงเคราะห์ งานlสวัสดิการสังคมและสังคมสงเคราะห์</t>
  </si>
  <si>
    <t xml:space="preserve">   เงินรับฝาก- โครงการบริหารงานร่วมของสถานที่กลางในการช่วยเหลื่อ ปชช.ฯ</t>
  </si>
  <si>
    <t xml:space="preserve">              2. รายการระหว่างเดือนให้แสดงยอดที่เคลื่อนไหวในแต่ละบัญชีทั้งด้านเดบิต และเครดิต หากบัญชีใดมีรายการเคลื่อนไหวทั้งด้านเดบิต และเครดิต จะมีจำนวนเงินทั้งในด้านช่องเดบิต และเครดิต                    </t>
  </si>
  <si>
    <t>เงินอุดหนุนทั่วไป - เบี้ยยังชีพผู้สูงอายุ ปี 2560</t>
  </si>
  <si>
    <t xml:space="preserve">         ลูกหนี้ชดใช้ค่าเสียหายในการเลือกตั้ง (นายจรัล)</t>
  </si>
  <si>
    <t xml:space="preserve">         รวม</t>
  </si>
  <si>
    <t>ประเภท เงินฝากประจำระยะสั้น 12 เดือน เลขที่ 310001595688</t>
  </si>
  <si>
    <t>รายรับจริงประกอบรายงานรับ - จ่ายเงิน</t>
  </si>
  <si>
    <t>หมายเหตุ 1. รายได้ปรับมูลค่าเพื่อการอื่น หมายถึง บัญชีเพื่อปรับมูลค่ารายได้ภาษีที่ดินและสิ่งปลูกสร้าง กรณีที่</t>
  </si>
  <si>
    <t xml:space="preserve">       องค์กรปกครองส่วนท้องถิ่น มอบหมายให้ส่วนราชการหรือหน่วยงานของรัฐรับชำระภาษีที่ดินและ</t>
  </si>
  <si>
    <t xml:space="preserve">       สิ่งปลูกสร้างแทน และส่วนราชการหรือหน่วยงานของรัฐนั้นได้รับส่วนลดหรือค่าใช้จ่ายในการ</t>
  </si>
  <si>
    <t xml:space="preserve">       จัดเก็บภาษีตามอัตราที่กำหนดในกฎกระทรวง</t>
  </si>
  <si>
    <t xml:space="preserve">    2. รายได้ปรับมูลค่าเพื่อการอื่น ให้ใส่ (   ) เพื่อลดยอดในช่องรับจริง</t>
  </si>
  <si>
    <t xml:space="preserve">                                   องค์การบริหารส่วนตำบลบ้านกอก   อำเภอจัตุรัส จังหวัดชัยภูมิ                </t>
  </si>
  <si>
    <t xml:space="preserve">            1. ทรัพย์สินที่ได้มาจากรายได้ เงินสะสม เงินทุนสำรองเงินสะสม เงินที่มีผู้อุทิศให้ และเงินอื่นใดยกเว้นเงินกู้ ให้แสดงทรัพย์สินที่เป็นกรรมสิทธิ์ขององค์กรปกครองส่วนท้องถิ่น</t>
  </si>
  <si>
    <t>และองค์กรปกครองส่วนท้องถิ่นใช้ประโยชน์โดยตรง  รวมทั้งทรัพย์สินที่ให้ยืมหรือเช่า ยกเว้นทรัพย์สินที่จัดไว้เพื่อเป็นการให้บริการสาธารณะ  เช่น ถนน สะพานลานกีฬา เป็นต้น</t>
  </si>
  <si>
    <t>เงินรอคืนจังหวัด - โครงการป้องกันและแก้ไขปัญหายาเสพติด 2559</t>
  </si>
  <si>
    <t>และจะเบิกจ่ายในปีงบประมาณต่อไป  ตามรายละเอียดแนบท้ายหมายเหตุ 11</t>
  </si>
  <si>
    <t>หมายเหตุ ในกรณีที่ไม่มีการปรับปรุงบัญชีโดยใช้ใบผ่านรายการบัญชีทั่วไป ไม่ต้องแสดงช่องใบผ่านรายการบัญชีทั่วไป</t>
  </si>
  <si>
    <t xml:space="preserve">          ............................................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</si>
</sst>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."/>
    <numFmt numFmtId="189" formatCode="_(* #,##0.00_);_(* \(#,##0.00\);_(* &quot;-&quot;??_);_(@_)"/>
  </numFmts>
  <fonts count="7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rgb="FF000000"/>
      <name val="Tahoma"/>
      <family val="2"/>
      <scheme val="minor"/>
    </font>
    <font>
      <b/>
      <sz val="16"/>
      <color rgb="FF00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Niramit AS"/>
    </font>
    <font>
      <sz val="16"/>
      <color theme="1"/>
      <name val="TH Niramit AS"/>
    </font>
    <font>
      <b/>
      <sz val="16"/>
      <color theme="1"/>
      <name val="TH Niramit AS"/>
    </font>
    <font>
      <sz val="16"/>
      <name val="TH Niramit AS"/>
    </font>
    <font>
      <sz val="15"/>
      <color theme="1"/>
      <name val="TH Niramit AS"/>
    </font>
    <font>
      <sz val="11"/>
      <color theme="1"/>
      <name val="TH Niramit AS"/>
    </font>
    <font>
      <b/>
      <sz val="14"/>
      <name val="TH Niramit AS"/>
    </font>
    <font>
      <sz val="10"/>
      <name val="Arial"/>
      <family val="2"/>
    </font>
    <font>
      <sz val="14"/>
      <name val="TH Niramit AS"/>
    </font>
    <font>
      <b/>
      <sz val="14"/>
      <color theme="1"/>
      <name val="TH Niramit AS"/>
    </font>
    <font>
      <sz val="14"/>
      <color theme="1"/>
      <name val="TH Niramit AS"/>
    </font>
    <font>
      <sz val="13"/>
      <color theme="1"/>
      <name val="TH Niramit AS"/>
    </font>
    <font>
      <b/>
      <sz val="11"/>
      <color theme="1"/>
      <name val="TH Niramit AS"/>
    </font>
    <font>
      <sz val="12"/>
      <color theme="1"/>
      <name val="TH Niramit AS"/>
    </font>
    <font>
      <b/>
      <u/>
      <sz val="16"/>
      <name val="TH Niramit AS"/>
    </font>
    <font>
      <sz val="16"/>
      <color rgb="FFFF0000"/>
      <name val="TH Niramit AS"/>
    </font>
    <font>
      <b/>
      <sz val="12"/>
      <color theme="1"/>
      <name val="TH Niramit AS"/>
    </font>
    <font>
      <b/>
      <sz val="10"/>
      <name val="TH Niramit AS"/>
    </font>
    <font>
      <sz val="10"/>
      <name val="TH Niramit AS"/>
    </font>
    <font>
      <sz val="9"/>
      <name val="TH Niramit AS"/>
    </font>
    <font>
      <sz val="9"/>
      <color theme="1"/>
      <name val="TH Niramit AS"/>
    </font>
    <font>
      <b/>
      <u/>
      <sz val="10"/>
      <name val="TH Niramit AS"/>
    </font>
    <font>
      <sz val="12"/>
      <color rgb="FFFF0000"/>
      <name val="TH Niramit AS"/>
    </font>
    <font>
      <sz val="10"/>
      <color rgb="FFFF0000"/>
      <name val="TH Niramit AS"/>
    </font>
    <font>
      <sz val="10"/>
      <name val="AngsanaUPC"/>
      <family val="1"/>
      <charset val="222"/>
    </font>
    <font>
      <sz val="12"/>
      <color rgb="FFFF0000"/>
      <name val="AngsanaUPC"/>
      <family val="1"/>
    </font>
    <font>
      <sz val="10"/>
      <color rgb="FFFF0000"/>
      <name val="Arial"/>
      <family val="2"/>
    </font>
    <font>
      <sz val="10"/>
      <color rgb="FFFF0000"/>
      <name val="AngsanaUPC"/>
      <family val="1"/>
      <charset val="222"/>
    </font>
    <font>
      <b/>
      <sz val="12.3"/>
      <name val="TH Niramit AS"/>
    </font>
    <font>
      <sz val="12.3"/>
      <name val="TH Niramit AS"/>
    </font>
    <font>
      <sz val="12.3"/>
      <color rgb="FFFF0000"/>
      <name val="TH Niramit AS"/>
    </font>
    <font>
      <sz val="12"/>
      <name val="TH Niramit AS"/>
    </font>
    <font>
      <sz val="12.5"/>
      <name val="TH Niramit AS"/>
    </font>
    <font>
      <b/>
      <sz val="12.5"/>
      <name val="TH Niramit AS"/>
    </font>
    <font>
      <sz val="13"/>
      <name val="TH Niramit AS"/>
    </font>
    <font>
      <b/>
      <sz val="13"/>
      <name val="TH Niramit AS"/>
    </font>
    <font>
      <b/>
      <sz val="15"/>
      <color theme="1"/>
      <name val="TH Niramit AS"/>
    </font>
    <font>
      <sz val="15"/>
      <name val="TH Niramit AS"/>
    </font>
    <font>
      <b/>
      <sz val="14"/>
      <color rgb="FF000000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u/>
      <sz val="14"/>
      <color theme="1"/>
      <name val="TH SarabunPSK"/>
      <family val="2"/>
    </font>
    <font>
      <i/>
      <u/>
      <sz val="14"/>
      <color theme="1"/>
      <name val="TH SarabunPSK"/>
      <family val="2"/>
    </font>
    <font>
      <b/>
      <sz val="12"/>
      <name val="TH Niramit AS"/>
    </font>
    <font>
      <sz val="11"/>
      <name val="TH Niramit AS"/>
    </font>
    <font>
      <sz val="12.5"/>
      <color rgb="FFFF0000"/>
      <name val="TH Niramit AS"/>
    </font>
    <font>
      <sz val="15"/>
      <color rgb="FFFF0000"/>
      <name val="TH Niramit AS"/>
    </font>
    <font>
      <b/>
      <sz val="15"/>
      <name val="TH Niramit AS"/>
    </font>
    <font>
      <sz val="13.5"/>
      <color theme="1"/>
      <name val="TH Niramit AS"/>
    </font>
    <font>
      <sz val="13.5"/>
      <color theme="1"/>
      <name val="TH SarabunPSK"/>
      <family val="2"/>
    </font>
    <font>
      <sz val="10"/>
      <color theme="1"/>
      <name val="TH Niramit AS"/>
    </font>
    <font>
      <sz val="10"/>
      <color theme="1"/>
      <name val="TH SarabunPSK"/>
      <family val="2"/>
    </font>
    <font>
      <b/>
      <sz val="11"/>
      <name val="TH Niramit AS"/>
    </font>
    <font>
      <b/>
      <i/>
      <sz val="16"/>
      <name val="TH Niramit AS"/>
    </font>
    <font>
      <b/>
      <u/>
      <sz val="13"/>
      <name val="TH Niramit AS"/>
    </font>
    <font>
      <sz val="13"/>
      <name val="Tahoma"/>
      <family val="2"/>
      <charset val="222"/>
      <scheme val="minor"/>
    </font>
    <font>
      <sz val="14"/>
      <color rgb="FFFF0000"/>
      <name val="TH Niramit AS"/>
    </font>
    <font>
      <sz val="10"/>
      <color theme="1"/>
      <name val="Tahoma"/>
      <family val="2"/>
      <charset val="222"/>
      <scheme val="minor"/>
    </font>
    <font>
      <sz val="10"/>
      <color rgb="FFFF0000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23" fillId="0" borderId="0" applyFont="0" applyFill="0" applyBorder="0" applyAlignment="0" applyProtection="0"/>
  </cellStyleXfs>
  <cellXfs count="82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43" fontId="2" fillId="0" borderId="0" xfId="1" applyFont="1"/>
    <xf numFmtId="43" fontId="2" fillId="0" borderId="0" xfId="1" applyFont="1" applyBorder="1"/>
    <xf numFmtId="43" fontId="2" fillId="0" borderId="2" xfId="1" applyFont="1" applyBorder="1"/>
    <xf numFmtId="43" fontId="3" fillId="0" borderId="3" xfId="1" applyFont="1" applyBorder="1"/>
    <xf numFmtId="43" fontId="3" fillId="0" borderId="0" xfId="1" applyFont="1" applyBorder="1"/>
    <xf numFmtId="0" fontId="3" fillId="0" borderId="0" xfId="0" applyFont="1" applyAlignment="1">
      <alignment horizontal="center" vertical="center"/>
    </xf>
    <xf numFmtId="43" fontId="3" fillId="0" borderId="1" xfId="1" applyFont="1" applyBorder="1"/>
    <xf numFmtId="43" fontId="3" fillId="0" borderId="4" xfId="1" applyFont="1" applyBorder="1"/>
    <xf numFmtId="43" fontId="3" fillId="0" borderId="0" xfId="1" applyFont="1" applyAlignment="1">
      <alignment horizontal="center"/>
    </xf>
    <xf numFmtId="43" fontId="3" fillId="0" borderId="0" xfId="1" applyFont="1" applyBorder="1" applyAlignment="1">
      <alignment horizontal="center"/>
    </xf>
    <xf numFmtId="43" fontId="6" fillId="0" borderId="0" xfId="1" applyFont="1" applyFill="1" applyBorder="1"/>
    <xf numFmtId="0" fontId="6" fillId="0" borderId="0" xfId="2" applyFont="1" applyFill="1" applyBorder="1"/>
    <xf numFmtId="0" fontId="7" fillId="0" borderId="0" xfId="2" applyFont="1" applyFill="1" applyBorder="1"/>
    <xf numFmtId="49" fontId="7" fillId="0" borderId="0" xfId="1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 wrapText="1" readingOrder="1"/>
    </xf>
    <xf numFmtId="0" fontId="7" fillId="0" borderId="0" xfId="2" applyFont="1" applyFill="1" applyBorder="1" applyAlignment="1"/>
    <xf numFmtId="43" fontId="7" fillId="0" borderId="0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2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87" fontId="6" fillId="0" borderId="0" xfId="1" applyNumberFormat="1" applyFont="1" applyFill="1" applyBorder="1"/>
    <xf numFmtId="187" fontId="2" fillId="0" borderId="0" xfId="1" applyNumberFormat="1" applyFont="1"/>
    <xf numFmtId="187" fontId="7" fillId="0" borderId="0" xfId="1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/>
    </xf>
    <xf numFmtId="43" fontId="3" fillId="2" borderId="5" xfId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87" fontId="3" fillId="2" borderId="5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49" fontId="12" fillId="0" borderId="0" xfId="0" applyNumberFormat="1" applyFo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4" fontId="12" fillId="0" borderId="0" xfId="0" applyNumberFormat="1" applyFont="1" applyBorder="1"/>
    <xf numFmtId="4" fontId="12" fillId="0" borderId="0" xfId="0" applyNumberFormat="1" applyFont="1" applyBorder="1" applyAlignment="1">
      <alignment horizontal="right"/>
    </xf>
    <xf numFmtId="0" fontId="14" fillId="0" borderId="0" xfId="0" applyFont="1"/>
    <xf numFmtId="0" fontId="17" fillId="0" borderId="0" xfId="0" applyFont="1" applyFill="1"/>
    <xf numFmtId="0" fontId="0" fillId="0" borderId="0" xfId="0" applyFill="1"/>
    <xf numFmtId="0" fontId="21" fillId="0" borderId="0" xfId="0" applyFont="1" applyFill="1"/>
    <xf numFmtId="0" fontId="18" fillId="0" borderId="0" xfId="0" applyFont="1" applyFill="1"/>
    <xf numFmtId="0" fontId="1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3" fontId="18" fillId="0" borderId="0" xfId="1" applyFont="1" applyFill="1"/>
    <xf numFmtId="0" fontId="30" fillId="0" borderId="13" xfId="0" applyFont="1" applyFill="1" applyBorder="1"/>
    <xf numFmtId="43" fontId="17" fillId="0" borderId="13" xfId="1" applyFont="1" applyFill="1" applyBorder="1"/>
    <xf numFmtId="0" fontId="17" fillId="0" borderId="13" xfId="0" applyFont="1" applyFill="1" applyBorder="1"/>
    <xf numFmtId="0" fontId="19" fillId="0" borderId="13" xfId="0" applyFont="1" applyFill="1" applyBorder="1"/>
    <xf numFmtId="43" fontId="19" fillId="0" borderId="13" xfId="1" applyFont="1" applyFill="1" applyBorder="1"/>
    <xf numFmtId="43" fontId="18" fillId="0" borderId="5" xfId="1" applyFont="1" applyFill="1" applyBorder="1"/>
    <xf numFmtId="43" fontId="17" fillId="0" borderId="0" xfId="1" applyFont="1" applyFill="1"/>
    <xf numFmtId="0" fontId="31" fillId="0" borderId="0" xfId="0" applyFont="1" applyFill="1"/>
    <xf numFmtId="0" fontId="19" fillId="0" borderId="0" xfId="0" applyFont="1" applyFill="1"/>
    <xf numFmtId="43" fontId="17" fillId="0" borderId="0" xfId="0" applyNumberFormat="1" applyFont="1" applyFill="1"/>
    <xf numFmtId="43" fontId="16" fillId="0" borderId="5" xfId="1" applyFont="1" applyFill="1" applyBorder="1"/>
    <xf numFmtId="0" fontId="37" fillId="0" borderId="13" xfId="0" applyFont="1" applyFill="1" applyBorder="1"/>
    <xf numFmtId="0" fontId="34" fillId="0" borderId="13" xfId="0" applyFont="1" applyFill="1" applyBorder="1"/>
    <xf numFmtId="0" fontId="34" fillId="0" borderId="11" xfId="0" applyFont="1" applyFill="1" applyBorder="1"/>
    <xf numFmtId="43" fontId="34" fillId="0" borderId="13" xfId="1" applyFont="1" applyFill="1" applyBorder="1"/>
    <xf numFmtId="43" fontId="34" fillId="0" borderId="11" xfId="1" applyFont="1" applyFill="1" applyBorder="1"/>
    <xf numFmtId="43" fontId="34" fillId="0" borderId="0" xfId="1" applyFont="1" applyFill="1"/>
    <xf numFmtId="43" fontId="34" fillId="0" borderId="5" xfId="0" applyNumberFormat="1" applyFont="1" applyFill="1" applyBorder="1"/>
    <xf numFmtId="0" fontId="34" fillId="0" borderId="0" xfId="0" applyFont="1" applyFill="1"/>
    <xf numFmtId="0" fontId="34" fillId="0" borderId="5" xfId="0" applyFont="1" applyFill="1" applyBorder="1" applyAlignment="1">
      <alignment horizontal="center"/>
    </xf>
    <xf numFmtId="43" fontId="34" fillId="0" borderId="15" xfId="0" applyNumberFormat="1" applyFont="1" applyFill="1" applyBorder="1"/>
    <xf numFmtId="0" fontId="37" fillId="0" borderId="12" xfId="0" applyFont="1" applyFill="1" applyBorder="1"/>
    <xf numFmtId="0" fontId="34" fillId="0" borderId="12" xfId="0" applyFont="1" applyFill="1" applyBorder="1"/>
    <xf numFmtId="0" fontId="33" fillId="0" borderId="22" xfId="0" applyFont="1" applyFill="1" applyBorder="1" applyAlignment="1">
      <alignment horizontal="center"/>
    </xf>
    <xf numFmtId="43" fontId="34" fillId="0" borderId="5" xfId="0" applyNumberFormat="1" applyFont="1" applyFill="1" applyBorder="1" applyAlignment="1"/>
    <xf numFmtId="43" fontId="34" fillId="0" borderId="5" xfId="1" applyFont="1" applyFill="1" applyBorder="1"/>
    <xf numFmtId="0" fontId="34" fillId="0" borderId="0" xfId="0" applyFont="1" applyFill="1" applyBorder="1" applyAlignment="1">
      <alignment horizontal="center" vertical="center"/>
    </xf>
    <xf numFmtId="0" fontId="40" fillId="0" borderId="0" xfId="0" applyFont="1" applyFill="1"/>
    <xf numFmtId="0" fontId="45" fillId="0" borderId="0" xfId="0" applyFont="1" applyFill="1"/>
    <xf numFmtId="0" fontId="46" fillId="0" borderId="0" xfId="0" applyFont="1" applyFill="1"/>
    <xf numFmtId="0" fontId="44" fillId="0" borderId="12" xfId="0" applyFont="1" applyFill="1" applyBorder="1" applyAlignment="1">
      <alignment horizontal="center"/>
    </xf>
    <xf numFmtId="0" fontId="44" fillId="0" borderId="14" xfId="0" applyFont="1" applyFill="1" applyBorder="1" applyAlignment="1">
      <alignment horizontal="center"/>
    </xf>
    <xf numFmtId="0" fontId="44" fillId="0" borderId="5" xfId="0" applyFont="1" applyFill="1" applyBorder="1"/>
    <xf numFmtId="0" fontId="45" fillId="0" borderId="5" xfId="0" applyFont="1" applyFill="1" applyBorder="1"/>
    <xf numFmtId="43" fontId="45" fillId="0" borderId="5" xfId="1" applyFont="1" applyFill="1" applyBorder="1"/>
    <xf numFmtId="43" fontId="45" fillId="0" borderId="5" xfId="1" applyFont="1" applyFill="1" applyBorder="1" applyAlignment="1">
      <alignment horizontal="center"/>
    </xf>
    <xf numFmtId="0" fontId="45" fillId="0" borderId="5" xfId="0" applyFont="1" applyFill="1" applyBorder="1" applyAlignment="1">
      <alignment horizontal="right"/>
    </xf>
    <xf numFmtId="43" fontId="44" fillId="0" borderId="5" xfId="1" applyFont="1" applyFill="1" applyBorder="1"/>
    <xf numFmtId="43" fontId="44" fillId="0" borderId="5" xfId="1" applyFont="1" applyFill="1" applyBorder="1" applyAlignment="1">
      <alignment horizontal="center"/>
    </xf>
    <xf numFmtId="0" fontId="44" fillId="0" borderId="5" xfId="0" applyFont="1" applyFill="1" applyBorder="1" applyAlignment="1">
      <alignment horizontal="center"/>
    </xf>
    <xf numFmtId="0" fontId="44" fillId="0" borderId="5" xfId="0" applyFont="1" applyFill="1" applyBorder="1" applyAlignment="1"/>
    <xf numFmtId="43" fontId="47" fillId="0" borderId="11" xfId="1" applyFont="1" applyFill="1" applyBorder="1"/>
    <xf numFmtId="43" fontId="47" fillId="0" borderId="5" xfId="1" applyFont="1" applyFill="1" applyBorder="1"/>
    <xf numFmtId="0" fontId="44" fillId="0" borderId="0" xfId="0" applyFont="1" applyFill="1" applyBorder="1" applyAlignment="1">
      <alignment horizontal="center"/>
    </xf>
    <xf numFmtId="43" fontId="44" fillId="0" borderId="0" xfId="1" applyFont="1" applyFill="1" applyBorder="1"/>
    <xf numFmtId="43" fontId="44" fillId="0" borderId="0" xfId="1" applyFont="1" applyFill="1" applyBorder="1" applyAlignment="1">
      <alignment horizontal="center"/>
    </xf>
    <xf numFmtId="0" fontId="44" fillId="0" borderId="17" xfId="0" applyFont="1" applyFill="1" applyBorder="1"/>
    <xf numFmtId="43" fontId="45" fillId="0" borderId="17" xfId="1" applyFont="1" applyFill="1" applyBorder="1"/>
    <xf numFmtId="43" fontId="45" fillId="0" borderId="17" xfId="1" applyFont="1" applyFill="1" applyBorder="1" applyAlignment="1">
      <alignment horizontal="center"/>
    </xf>
    <xf numFmtId="0" fontId="44" fillId="0" borderId="2" xfId="0" applyFont="1" applyFill="1" applyBorder="1"/>
    <xf numFmtId="43" fontId="45" fillId="0" borderId="2" xfId="1" applyFont="1" applyFill="1" applyBorder="1"/>
    <xf numFmtId="43" fontId="45" fillId="0" borderId="2" xfId="1" applyFont="1" applyFill="1" applyBorder="1" applyAlignment="1">
      <alignment horizontal="center"/>
    </xf>
    <xf numFmtId="43" fontId="44" fillId="0" borderId="12" xfId="1" applyFont="1" applyFill="1" applyBorder="1" applyAlignment="1">
      <alignment horizontal="center"/>
    </xf>
    <xf numFmtId="43" fontId="44" fillId="0" borderId="9" xfId="1" applyFont="1" applyFill="1" applyBorder="1" applyAlignment="1">
      <alignment horizontal="center"/>
    </xf>
    <xf numFmtId="43" fontId="45" fillId="0" borderId="0" xfId="1" applyFont="1" applyFill="1"/>
    <xf numFmtId="43" fontId="48" fillId="0" borderId="24" xfId="1" applyFont="1" applyFill="1" applyBorder="1"/>
    <xf numFmtId="43" fontId="48" fillId="0" borderId="25" xfId="1" applyFont="1" applyFill="1" applyBorder="1"/>
    <xf numFmtId="189" fontId="47" fillId="0" borderId="5" xfId="0" applyNumberFormat="1" applyFont="1" applyFill="1" applyBorder="1" applyAlignment="1"/>
    <xf numFmtId="189" fontId="48" fillId="0" borderId="26" xfId="0" applyNumberFormat="1" applyFont="1" applyFill="1" applyBorder="1" applyAlignment="1">
      <alignment horizontal="left"/>
    </xf>
    <xf numFmtId="0" fontId="44" fillId="0" borderId="5" xfId="0" applyFont="1" applyFill="1" applyBorder="1" applyAlignment="1">
      <alignment horizontal="left"/>
    </xf>
    <xf numFmtId="0" fontId="45" fillId="0" borderId="5" xfId="0" applyFont="1" applyFill="1" applyBorder="1" applyAlignment="1">
      <alignment horizontal="left"/>
    </xf>
    <xf numFmtId="43" fontId="48" fillId="0" borderId="0" xfId="1" applyFont="1" applyFill="1"/>
    <xf numFmtId="0" fontId="48" fillId="0" borderId="0" xfId="0" applyFont="1" applyFill="1"/>
    <xf numFmtId="0" fontId="49" fillId="0" borderId="12" xfId="0" applyFont="1" applyFill="1" applyBorder="1" applyAlignment="1">
      <alignment horizontal="center"/>
    </xf>
    <xf numFmtId="43" fontId="49" fillId="0" borderId="12" xfId="1" applyFont="1" applyFill="1" applyBorder="1" applyAlignment="1">
      <alignment horizontal="center"/>
    </xf>
    <xf numFmtId="0" fontId="49" fillId="0" borderId="14" xfId="0" applyFont="1" applyFill="1" applyBorder="1" applyAlignment="1">
      <alignment horizontal="center"/>
    </xf>
    <xf numFmtId="43" fontId="49" fillId="0" borderId="14" xfId="1" applyFont="1" applyFill="1" applyBorder="1" applyAlignment="1">
      <alignment horizontal="center"/>
    </xf>
    <xf numFmtId="189" fontId="49" fillId="0" borderId="23" xfId="0" applyNumberFormat="1" applyFont="1" applyFill="1" applyBorder="1" applyAlignment="1">
      <alignment horizontal="left"/>
    </xf>
    <xf numFmtId="189" fontId="49" fillId="0" borderId="23" xfId="0" applyNumberFormat="1" applyFont="1" applyFill="1" applyBorder="1" applyAlignment="1"/>
    <xf numFmtId="43" fontId="48" fillId="0" borderId="23" xfId="1" applyFont="1" applyFill="1" applyBorder="1"/>
    <xf numFmtId="189" fontId="48" fillId="0" borderId="23" xfId="0" applyNumberFormat="1" applyFont="1" applyFill="1" applyBorder="1"/>
    <xf numFmtId="0" fontId="48" fillId="0" borderId="24" xfId="0" applyFont="1" applyFill="1" applyBorder="1"/>
    <xf numFmtId="189" fontId="48" fillId="0" borderId="24" xfId="0" applyNumberFormat="1" applyFont="1" applyFill="1" applyBorder="1" applyAlignment="1">
      <alignment horizontal="center"/>
    </xf>
    <xf numFmtId="189" fontId="48" fillId="0" borderId="24" xfId="0" applyNumberFormat="1" applyFont="1" applyFill="1" applyBorder="1" applyAlignment="1">
      <alignment horizontal="left"/>
    </xf>
    <xf numFmtId="189" fontId="48" fillId="0" borderId="24" xfId="0" applyNumberFormat="1" applyFont="1" applyFill="1" applyBorder="1"/>
    <xf numFmtId="189" fontId="48" fillId="0" borderId="24" xfId="0" quotePrefix="1" applyNumberFormat="1" applyFont="1" applyFill="1" applyBorder="1"/>
    <xf numFmtId="0" fontId="48" fillId="0" borderId="25" xfId="0" applyFont="1" applyFill="1" applyBorder="1"/>
    <xf numFmtId="189" fontId="48" fillId="0" borderId="25" xfId="0" applyNumberFormat="1" applyFont="1" applyFill="1" applyBorder="1"/>
    <xf numFmtId="189" fontId="48" fillId="0" borderId="25" xfId="0" quotePrefix="1" applyNumberFormat="1" applyFont="1" applyFill="1" applyBorder="1"/>
    <xf numFmtId="189" fontId="49" fillId="0" borderId="5" xfId="0" applyNumberFormat="1" applyFont="1" applyFill="1" applyBorder="1" applyAlignment="1">
      <alignment horizontal="right"/>
    </xf>
    <xf numFmtId="43" fontId="49" fillId="0" borderId="5" xfId="1" applyFont="1" applyFill="1" applyBorder="1"/>
    <xf numFmtId="189" fontId="49" fillId="0" borderId="5" xfId="0" applyNumberFormat="1" applyFont="1" applyFill="1" applyBorder="1"/>
    <xf numFmtId="189" fontId="49" fillId="0" borderId="23" xfId="0" applyNumberFormat="1" applyFont="1" applyFill="1" applyBorder="1"/>
    <xf numFmtId="0" fontId="48" fillId="0" borderId="32" xfId="0" applyFont="1" applyFill="1" applyBorder="1"/>
    <xf numFmtId="0" fontId="48" fillId="0" borderId="23" xfId="0" applyFont="1" applyFill="1" applyBorder="1"/>
    <xf numFmtId="0" fontId="48" fillId="0" borderId="24" xfId="0" applyFont="1" applyFill="1" applyBorder="1" applyAlignment="1">
      <alignment horizontal="center"/>
    </xf>
    <xf numFmtId="0" fontId="48" fillId="0" borderId="24" xfId="0" applyFont="1" applyFill="1" applyBorder="1" applyAlignment="1">
      <alignment horizontal="left"/>
    </xf>
    <xf numFmtId="0" fontId="48" fillId="0" borderId="24" xfId="0" quotePrefix="1" applyFont="1" applyFill="1" applyBorder="1" applyAlignment="1">
      <alignment horizontal="center"/>
    </xf>
    <xf numFmtId="0" fontId="48" fillId="0" borderId="25" xfId="0" applyFont="1" applyFill="1" applyBorder="1" applyAlignment="1">
      <alignment horizontal="center"/>
    </xf>
    <xf numFmtId="0" fontId="48" fillId="0" borderId="14" xfId="0" applyFont="1" applyFill="1" applyBorder="1" applyAlignment="1">
      <alignment horizontal="center"/>
    </xf>
    <xf numFmtId="189" fontId="49" fillId="0" borderId="14" xfId="0" applyNumberFormat="1" applyFont="1" applyFill="1" applyBorder="1"/>
    <xf numFmtId="189" fontId="48" fillId="0" borderId="14" xfId="0" applyNumberFormat="1" applyFont="1" applyFill="1" applyBorder="1"/>
    <xf numFmtId="0" fontId="48" fillId="0" borderId="5" xfId="0" applyFont="1" applyFill="1" applyBorder="1" applyAlignment="1">
      <alignment horizontal="center"/>
    </xf>
    <xf numFmtId="189" fontId="48" fillId="0" borderId="5" xfId="0" applyNumberFormat="1" applyFont="1" applyFill="1" applyBorder="1"/>
    <xf numFmtId="0" fontId="48" fillId="0" borderId="23" xfId="0" applyFont="1" applyFill="1" applyBorder="1" applyAlignment="1">
      <alignment horizontal="center"/>
    </xf>
    <xf numFmtId="0" fontId="48" fillId="0" borderId="31" xfId="0" quotePrefix="1" applyFont="1" applyFill="1" applyBorder="1" applyAlignment="1">
      <alignment horizontal="center"/>
    </xf>
    <xf numFmtId="0" fontId="48" fillId="0" borderId="31" xfId="0" applyFont="1" applyFill="1" applyBorder="1"/>
    <xf numFmtId="0" fontId="48" fillId="0" borderId="31" xfId="0" applyFont="1" applyFill="1" applyBorder="1" applyAlignment="1">
      <alignment horizontal="center"/>
    </xf>
    <xf numFmtId="43" fontId="48" fillId="0" borderId="31" xfId="1" applyFont="1" applyFill="1" applyBorder="1"/>
    <xf numFmtId="189" fontId="48" fillId="0" borderId="31" xfId="0" applyNumberFormat="1" applyFont="1" applyFill="1" applyBorder="1"/>
    <xf numFmtId="189" fontId="48" fillId="0" borderId="5" xfId="0" applyNumberFormat="1" applyFont="1" applyFill="1" applyBorder="1" applyAlignment="1">
      <alignment horizontal="right"/>
    </xf>
    <xf numFmtId="0" fontId="48" fillId="0" borderId="5" xfId="0" quotePrefix="1" applyFont="1" applyFill="1" applyBorder="1" applyAlignment="1">
      <alignment horizontal="center"/>
    </xf>
    <xf numFmtId="43" fontId="48" fillId="0" borderId="5" xfId="1" applyFont="1" applyFill="1" applyBorder="1"/>
    <xf numFmtId="189" fontId="49" fillId="0" borderId="14" xfId="0" applyNumberFormat="1" applyFont="1" applyFill="1" applyBorder="1" applyAlignment="1">
      <alignment horizontal="right"/>
    </xf>
    <xf numFmtId="189" fontId="48" fillId="0" borderId="26" xfId="0" applyNumberFormat="1" applyFont="1" applyFill="1" applyBorder="1"/>
    <xf numFmtId="189" fontId="48" fillId="0" borderId="26" xfId="0" applyNumberFormat="1" applyFont="1" applyFill="1" applyBorder="1" applyAlignment="1">
      <alignment horizontal="center"/>
    </xf>
    <xf numFmtId="0" fontId="48" fillId="0" borderId="26" xfId="0" applyFont="1" applyFill="1" applyBorder="1" applyAlignment="1">
      <alignment horizontal="left"/>
    </xf>
    <xf numFmtId="43" fontId="48" fillId="0" borderId="26" xfId="1" applyFont="1" applyFill="1" applyBorder="1"/>
    <xf numFmtId="189" fontId="48" fillId="0" borderId="13" xfId="0" applyNumberFormat="1" applyFont="1" applyFill="1" applyBorder="1"/>
    <xf numFmtId="189" fontId="48" fillId="0" borderId="13" xfId="0" applyNumberFormat="1" applyFont="1" applyFill="1" applyBorder="1" applyAlignment="1">
      <alignment horizontal="center"/>
    </xf>
    <xf numFmtId="43" fontId="48" fillId="0" borderId="31" xfId="1" applyFont="1" applyFill="1" applyBorder="1" applyAlignment="1">
      <alignment horizontal="center"/>
    </xf>
    <xf numFmtId="43" fontId="48" fillId="0" borderId="5" xfId="1" applyFont="1" applyFill="1" applyBorder="1" applyAlignment="1">
      <alignment horizontal="right"/>
    </xf>
    <xf numFmtId="43" fontId="48" fillId="0" borderId="5" xfId="1" applyFont="1" applyFill="1" applyBorder="1" applyAlignment="1">
      <alignment horizontal="center"/>
    </xf>
    <xf numFmtId="43" fontId="48" fillId="0" borderId="26" xfId="1" applyFont="1" applyFill="1" applyBorder="1" applyAlignment="1">
      <alignment horizontal="center"/>
    </xf>
    <xf numFmtId="189" fontId="48" fillId="0" borderId="31" xfId="0" applyNumberFormat="1" applyFont="1" applyFill="1" applyBorder="1" applyAlignment="1">
      <alignment horizontal="center"/>
    </xf>
    <xf numFmtId="189" fontId="49" fillId="0" borderId="26" xfId="0" applyNumberFormat="1" applyFont="1" applyFill="1" applyBorder="1"/>
    <xf numFmtId="189" fontId="48" fillId="0" borderId="31" xfId="0" applyNumberFormat="1" applyFont="1" applyFill="1" applyBorder="1" applyAlignment="1">
      <alignment horizontal="left"/>
    </xf>
    <xf numFmtId="189" fontId="49" fillId="0" borderId="31" xfId="0" applyNumberFormat="1" applyFont="1" applyFill="1" applyBorder="1"/>
    <xf numFmtId="189" fontId="48" fillId="0" borderId="5" xfId="0" applyNumberFormat="1" applyFont="1" applyFill="1" applyBorder="1" applyAlignment="1">
      <alignment horizontal="center"/>
    </xf>
    <xf numFmtId="43" fontId="48" fillId="0" borderId="12" xfId="1" applyFont="1" applyFill="1" applyBorder="1"/>
    <xf numFmtId="0" fontId="48" fillId="0" borderId="4" xfId="0" applyFont="1" applyFill="1" applyBorder="1"/>
    <xf numFmtId="0" fontId="48" fillId="0" borderId="5" xfId="0" applyFont="1" applyFill="1" applyBorder="1"/>
    <xf numFmtId="189" fontId="48" fillId="0" borderId="23" xfId="0" applyNumberFormat="1" applyFont="1" applyFill="1" applyBorder="1" applyAlignment="1">
      <alignment horizontal="left"/>
    </xf>
    <xf numFmtId="43" fontId="48" fillId="0" borderId="25" xfId="1" applyFont="1" applyFill="1" applyBorder="1" applyAlignment="1">
      <alignment horizontal="right"/>
    </xf>
    <xf numFmtId="43" fontId="48" fillId="0" borderId="0" xfId="0" applyNumberFormat="1" applyFont="1" applyFill="1"/>
    <xf numFmtId="43" fontId="49" fillId="0" borderId="26" xfId="1" applyFont="1" applyFill="1" applyBorder="1"/>
    <xf numFmtId="0" fontId="48" fillId="0" borderId="26" xfId="0" applyFont="1" applyFill="1" applyBorder="1"/>
    <xf numFmtId="43" fontId="49" fillId="0" borderId="26" xfId="1" applyFont="1" applyFill="1" applyBorder="1" applyAlignment="1">
      <alignment horizontal="center"/>
    </xf>
    <xf numFmtId="0" fontId="49" fillId="0" borderId="26" xfId="0" applyFont="1" applyFill="1" applyBorder="1" applyAlignment="1">
      <alignment horizontal="center"/>
    </xf>
    <xf numFmtId="189" fontId="48" fillId="0" borderId="24" xfId="0" applyNumberFormat="1" applyFont="1" applyFill="1" applyBorder="1" applyAlignment="1"/>
    <xf numFmtId="189" fontId="49" fillId="0" borderId="24" xfId="0" applyNumberFormat="1" applyFont="1" applyFill="1" applyBorder="1"/>
    <xf numFmtId="189" fontId="49" fillId="0" borderId="26" xfId="0" applyNumberFormat="1" applyFont="1" applyFill="1" applyBorder="1" applyAlignment="1"/>
    <xf numFmtId="0" fontId="48" fillId="0" borderId="26" xfId="0" applyFont="1" applyFill="1" applyBorder="1" applyAlignment="1">
      <alignment horizontal="center"/>
    </xf>
    <xf numFmtId="0" fontId="48" fillId="0" borderId="24" xfId="0" applyFont="1" applyFill="1" applyBorder="1" applyAlignment="1"/>
    <xf numFmtId="189" fontId="48" fillId="0" borderId="31" xfId="0" applyNumberFormat="1" applyFont="1" applyFill="1" applyBorder="1" applyAlignment="1"/>
    <xf numFmtId="0" fontId="48" fillId="0" borderId="26" xfId="0" applyFont="1" applyFill="1" applyBorder="1" applyAlignment="1"/>
    <xf numFmtId="43" fontId="49" fillId="0" borderId="24" xfId="1" applyFont="1" applyFill="1" applyBorder="1"/>
    <xf numFmtId="189" fontId="48" fillId="0" borderId="25" xfId="0" applyNumberFormat="1" applyFont="1" applyFill="1" applyBorder="1" applyAlignment="1"/>
    <xf numFmtId="189" fontId="47" fillId="0" borderId="24" xfId="0" applyNumberFormat="1" applyFont="1" applyFill="1" applyBorder="1" applyAlignment="1"/>
    <xf numFmtId="189" fontId="48" fillId="0" borderId="25" xfId="0" applyNumberFormat="1" applyFont="1" applyFill="1" applyBorder="1" applyAlignment="1">
      <alignment horizontal="left"/>
    </xf>
    <xf numFmtId="0" fontId="48" fillId="0" borderId="24" xfId="0" quotePrefix="1" applyFont="1" applyFill="1" applyBorder="1" applyAlignment="1">
      <alignment horizontal="left"/>
    </xf>
    <xf numFmtId="0" fontId="48" fillId="0" borderId="5" xfId="0" quotePrefix="1" applyFont="1" applyFill="1" applyBorder="1" applyAlignment="1">
      <alignment horizontal="left"/>
    </xf>
    <xf numFmtId="0" fontId="49" fillId="0" borderId="24" xfId="0" applyFont="1" applyFill="1" applyBorder="1" applyAlignment="1">
      <alignment horizontal="center"/>
    </xf>
    <xf numFmtId="43" fontId="48" fillId="0" borderId="24" xfId="0" applyNumberFormat="1" applyFont="1" applyFill="1" applyBorder="1" applyAlignment="1"/>
    <xf numFmtId="0" fontId="49" fillId="0" borderId="31" xfId="0" applyFont="1" applyFill="1" applyBorder="1" applyAlignment="1">
      <alignment horizontal="center"/>
    </xf>
    <xf numFmtId="43" fontId="48" fillId="0" borderId="5" xfId="0" applyNumberFormat="1" applyFont="1" applyFill="1" applyBorder="1" applyAlignment="1"/>
    <xf numFmtId="0" fontId="48" fillId="0" borderId="23" xfId="0" applyFont="1" applyFill="1" applyBorder="1" applyAlignment="1"/>
    <xf numFmtId="189" fontId="47" fillId="0" borderId="24" xfId="0" applyNumberFormat="1" applyFont="1" applyFill="1" applyBorder="1"/>
    <xf numFmtId="0" fontId="48" fillId="0" borderId="31" xfId="0" applyFont="1" applyFill="1" applyBorder="1" applyAlignment="1"/>
    <xf numFmtId="189" fontId="48" fillId="0" borderId="23" xfId="0" applyNumberFormat="1" applyFont="1" applyFill="1" applyBorder="1" applyAlignment="1"/>
    <xf numFmtId="189" fontId="47" fillId="0" borderId="25" xfId="0" applyNumberFormat="1" applyFont="1" applyFill="1" applyBorder="1" applyAlignment="1"/>
    <xf numFmtId="0" fontId="49" fillId="0" borderId="5" xfId="0" applyFont="1" applyFill="1" applyBorder="1" applyAlignment="1">
      <alignment horizontal="center"/>
    </xf>
    <xf numFmtId="189" fontId="49" fillId="0" borderId="26" xfId="0" applyNumberFormat="1" applyFont="1" applyFill="1" applyBorder="1" applyAlignment="1">
      <alignment horizontal="left"/>
    </xf>
    <xf numFmtId="0" fontId="49" fillId="0" borderId="26" xfId="0" applyFont="1" applyFill="1" applyBorder="1"/>
    <xf numFmtId="189" fontId="47" fillId="0" borderId="24" xfId="0" applyNumberFormat="1" applyFont="1" applyFill="1" applyBorder="1" applyAlignment="1">
      <alignment horizontal="left"/>
    </xf>
    <xf numFmtId="43" fontId="49" fillId="0" borderId="23" xfId="1" applyFont="1" applyFill="1" applyBorder="1"/>
    <xf numFmtId="43" fontId="49" fillId="0" borderId="5" xfId="1" applyFont="1" applyFill="1" applyBorder="1" applyAlignment="1">
      <alignment horizontal="center"/>
    </xf>
    <xf numFmtId="0" fontId="48" fillId="0" borderId="23" xfId="0" applyFont="1" applyFill="1" applyBorder="1" applyAlignment="1">
      <alignment horizontal="left"/>
    </xf>
    <xf numFmtId="43" fontId="49" fillId="0" borderId="23" xfId="1" applyFont="1" applyFill="1" applyBorder="1" applyAlignment="1">
      <alignment horizontal="center"/>
    </xf>
    <xf numFmtId="0" fontId="49" fillId="0" borderId="23" xfId="0" applyFont="1" applyFill="1" applyBorder="1" applyAlignment="1">
      <alignment horizontal="center"/>
    </xf>
    <xf numFmtId="43" fontId="48" fillId="0" borderId="26" xfId="0" applyNumberFormat="1" applyFont="1" applyFill="1" applyBorder="1" applyAlignment="1"/>
    <xf numFmtId="43" fontId="48" fillId="0" borderId="31" xfId="0" applyNumberFormat="1" applyFont="1" applyFill="1" applyBorder="1" applyAlignment="1"/>
    <xf numFmtId="43" fontId="49" fillId="0" borderId="26" xfId="0" applyNumberFormat="1" applyFont="1" applyFill="1" applyBorder="1" applyAlignment="1">
      <alignment horizontal="center"/>
    </xf>
    <xf numFmtId="43" fontId="48" fillId="0" borderId="31" xfId="0" applyNumberFormat="1" applyFont="1" applyFill="1" applyBorder="1" applyAlignment="1">
      <alignment horizontal="center"/>
    </xf>
    <xf numFmtId="189" fontId="48" fillId="0" borderId="26" xfId="0" applyNumberFormat="1" applyFont="1" applyFill="1" applyBorder="1" applyAlignment="1"/>
    <xf numFmtId="189" fontId="48" fillId="0" borderId="31" xfId="0" applyNumberFormat="1" applyFont="1" applyFill="1" applyBorder="1" applyAlignment="1">
      <alignment horizontal="right"/>
    </xf>
    <xf numFmtId="43" fontId="49" fillId="0" borderId="31" xfId="1" applyFont="1" applyFill="1" applyBorder="1" applyAlignment="1">
      <alignment horizontal="center"/>
    </xf>
    <xf numFmtId="43" fontId="49" fillId="0" borderId="23" xfId="0" applyNumberFormat="1" applyFont="1" applyFill="1" applyBorder="1" applyAlignment="1">
      <alignment horizontal="center"/>
    </xf>
    <xf numFmtId="43" fontId="48" fillId="0" borderId="23" xfId="0" applyNumberFormat="1" applyFont="1" applyFill="1" applyBorder="1" applyAlignment="1"/>
    <xf numFmtId="43" fontId="49" fillId="0" borderId="5" xfId="0" applyNumberFormat="1" applyFont="1" applyFill="1" applyBorder="1" applyAlignment="1">
      <alignment horizontal="center"/>
    </xf>
    <xf numFmtId="43" fontId="49" fillId="0" borderId="31" xfId="0" applyNumberFormat="1" applyFont="1" applyFill="1" applyBorder="1" applyAlignment="1">
      <alignment horizontal="center"/>
    </xf>
    <xf numFmtId="43" fontId="49" fillId="0" borderId="24" xfId="0" applyNumberFormat="1" applyFont="1" applyFill="1" applyBorder="1" applyAlignment="1">
      <alignment horizontal="center"/>
    </xf>
    <xf numFmtId="189" fontId="49" fillId="0" borderId="26" xfId="0" applyNumberFormat="1" applyFont="1" applyFill="1" applyBorder="1" applyAlignment="1">
      <alignment horizontal="center"/>
    </xf>
    <xf numFmtId="43" fontId="49" fillId="0" borderId="24" xfId="1" applyFont="1" applyFill="1" applyBorder="1" applyAlignment="1">
      <alignment horizontal="center"/>
    </xf>
    <xf numFmtId="0" fontId="48" fillId="0" borderId="0" xfId="0" applyFont="1" applyFill="1" applyBorder="1"/>
    <xf numFmtId="0" fontId="48" fillId="0" borderId="5" xfId="0" applyFont="1" applyFill="1" applyBorder="1" applyAlignment="1">
      <alignment horizontal="left"/>
    </xf>
    <xf numFmtId="189" fontId="48" fillId="0" borderId="13" xfId="0" applyNumberFormat="1" applyFont="1" applyFill="1" applyBorder="1" applyAlignment="1">
      <alignment horizontal="left"/>
    </xf>
    <xf numFmtId="0" fontId="48" fillId="0" borderId="13" xfId="0" applyFont="1" applyFill="1" applyBorder="1"/>
    <xf numFmtId="0" fontId="48" fillId="0" borderId="13" xfId="0" applyFont="1" applyFill="1" applyBorder="1" applyAlignment="1">
      <alignment horizontal="left"/>
    </xf>
    <xf numFmtId="189" fontId="49" fillId="0" borderId="25" xfId="0" applyNumberFormat="1" applyFont="1" applyFill="1" applyBorder="1" applyAlignment="1">
      <alignment horizontal="right"/>
    </xf>
    <xf numFmtId="0" fontId="48" fillId="0" borderId="25" xfId="0" applyFont="1" applyFill="1" applyBorder="1" applyAlignment="1">
      <alignment horizontal="left"/>
    </xf>
    <xf numFmtId="0" fontId="48" fillId="0" borderId="31" xfId="0" applyFont="1" applyFill="1" applyBorder="1" applyAlignment="1">
      <alignment horizontal="left"/>
    </xf>
    <xf numFmtId="0" fontId="48" fillId="0" borderId="5" xfId="0" applyFont="1" applyFill="1" applyBorder="1" applyAlignment="1"/>
    <xf numFmtId="189" fontId="49" fillId="0" borderId="33" xfId="0" applyNumberFormat="1" applyFont="1" applyFill="1" applyBorder="1" applyAlignment="1">
      <alignment horizontal="left"/>
    </xf>
    <xf numFmtId="0" fontId="49" fillId="0" borderId="24" xfId="0" applyFont="1" applyFill="1" applyBorder="1" applyAlignment="1"/>
    <xf numFmtId="43" fontId="48" fillId="0" borderId="23" xfId="1" applyFont="1" applyFill="1" applyBorder="1" applyAlignment="1">
      <alignment horizontal="right"/>
    </xf>
    <xf numFmtId="43" fontId="48" fillId="0" borderId="23" xfId="0" applyNumberFormat="1" applyFont="1" applyFill="1" applyBorder="1" applyAlignment="1">
      <alignment horizontal="center"/>
    </xf>
    <xf numFmtId="0" fontId="50" fillId="0" borderId="31" xfId="0" applyFont="1" applyFill="1" applyBorder="1" applyAlignment="1">
      <alignment horizontal="left"/>
    </xf>
    <xf numFmtId="0" fontId="49" fillId="0" borderId="5" xfId="0" applyFont="1" applyFill="1" applyBorder="1"/>
    <xf numFmtId="189" fontId="49" fillId="0" borderId="0" xfId="0" applyNumberFormat="1" applyFont="1" applyFill="1" applyBorder="1" applyAlignment="1">
      <alignment horizontal="right"/>
    </xf>
    <xf numFmtId="0" fontId="49" fillId="0" borderId="0" xfId="0" applyFont="1" applyFill="1" applyBorder="1" applyAlignment="1">
      <alignment horizontal="center"/>
    </xf>
    <xf numFmtId="0" fontId="49" fillId="0" borderId="0" xfId="0" applyFont="1" applyFill="1" applyBorder="1"/>
    <xf numFmtId="43" fontId="49" fillId="0" borderId="0" xfId="1" applyFont="1" applyFill="1" applyBorder="1" applyAlignment="1">
      <alignment horizontal="center"/>
    </xf>
    <xf numFmtId="43" fontId="49" fillId="0" borderId="0" xfId="0" applyNumberFormat="1" applyFont="1" applyFill="1" applyBorder="1" applyAlignment="1">
      <alignment horizontal="center"/>
    </xf>
    <xf numFmtId="0" fontId="26" fillId="0" borderId="0" xfId="0" applyFont="1" applyFill="1"/>
    <xf numFmtId="43" fontId="33" fillId="0" borderId="0" xfId="1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43" fontId="34" fillId="0" borderId="0" xfId="0" applyNumberFormat="1" applyFont="1" applyFill="1"/>
    <xf numFmtId="43" fontId="21" fillId="0" borderId="0" xfId="0" applyNumberFormat="1" applyFont="1" applyFill="1"/>
    <xf numFmtId="43" fontId="34" fillId="0" borderId="15" xfId="1" applyFont="1" applyFill="1" applyBorder="1"/>
    <xf numFmtId="43" fontId="39" fillId="0" borderId="13" xfId="1" applyFont="1" applyFill="1" applyBorder="1"/>
    <xf numFmtId="0" fontId="13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43" fontId="17" fillId="0" borderId="0" xfId="1" applyFont="1" applyFill="1" applyBorder="1" applyAlignment="1">
      <alignment horizontal="center"/>
    </xf>
    <xf numFmtId="0" fontId="14" fillId="0" borderId="0" xfId="0" applyFont="1" applyBorder="1"/>
    <xf numFmtId="0" fontId="17" fillId="0" borderId="0" xfId="0" applyFont="1" applyBorder="1"/>
    <xf numFmtId="0" fontId="14" fillId="0" borderId="0" xfId="0" applyFont="1" applyFill="1" applyBorder="1"/>
    <xf numFmtId="0" fontId="14" fillId="0" borderId="0" xfId="0" applyFont="1" applyFill="1"/>
    <xf numFmtId="43" fontId="19" fillId="0" borderId="0" xfId="1" applyFont="1" applyBorder="1" applyAlignment="1">
      <alignment horizontal="center" vertical="center" wrapText="1"/>
    </xf>
    <xf numFmtId="0" fontId="54" fillId="0" borderId="0" xfId="0" applyNumberFormat="1" applyFont="1" applyFill="1" applyBorder="1" applyAlignment="1">
      <alignment vertical="center" wrapText="1" readingOrder="1"/>
    </xf>
    <xf numFmtId="0" fontId="55" fillId="0" borderId="0" xfId="2" applyFont="1" applyFill="1" applyBorder="1"/>
    <xf numFmtId="0" fontId="56" fillId="0" borderId="0" xfId="2" applyFont="1" applyFill="1" applyBorder="1" applyAlignment="1"/>
    <xf numFmtId="0" fontId="56" fillId="0" borderId="0" xfId="2" applyFont="1" applyFill="1" applyBorder="1"/>
    <xf numFmtId="43" fontId="55" fillId="0" borderId="0" xfId="1" applyFont="1" applyFill="1" applyBorder="1"/>
    <xf numFmtId="43" fontId="56" fillId="0" borderId="0" xfId="1" applyFont="1" applyFill="1" applyBorder="1" applyAlignment="1">
      <alignment horizontal="center" vertical="center"/>
    </xf>
    <xf numFmtId="43" fontId="9" fillId="0" borderId="3" xfId="1" applyFont="1" applyFill="1" applyBorder="1"/>
    <xf numFmtId="0" fontId="56" fillId="0" borderId="0" xfId="0" applyFont="1" applyAlignment="1">
      <alignment horizontal="left"/>
    </xf>
    <xf numFmtId="0" fontId="29" fillId="0" borderId="0" xfId="0" applyFont="1" applyFill="1"/>
    <xf numFmtId="0" fontId="59" fillId="0" borderId="5" xfId="0" applyFont="1" applyFill="1" applyBorder="1" applyAlignment="1">
      <alignment horizontal="center"/>
    </xf>
    <xf numFmtId="0" fontId="47" fillId="0" borderId="13" xfId="0" applyFont="1" applyFill="1" applyBorder="1" applyAlignment="1"/>
    <xf numFmtId="0" fontId="47" fillId="0" borderId="13" xfId="0" applyFont="1" applyFill="1" applyBorder="1" applyAlignment="1">
      <alignment horizontal="center" vertical="center"/>
    </xf>
    <xf numFmtId="43" fontId="29" fillId="0" borderId="13" xfId="1" applyFont="1" applyFill="1" applyBorder="1" applyAlignment="1">
      <alignment horizontal="center"/>
    </xf>
    <xf numFmtId="43" fontId="47" fillId="0" borderId="13" xfId="3" applyFont="1" applyFill="1" applyBorder="1" applyAlignment="1">
      <alignment horizontal="center" vertical="center"/>
    </xf>
    <xf numFmtId="43" fontId="47" fillId="0" borderId="13" xfId="3" applyFont="1" applyFill="1" applyBorder="1" applyAlignment="1">
      <alignment vertical="center"/>
    </xf>
    <xf numFmtId="43" fontId="47" fillId="0" borderId="13" xfId="3" applyFont="1" applyFill="1" applyBorder="1" applyAlignment="1"/>
    <xf numFmtId="43" fontId="47" fillId="0" borderId="14" xfId="3" applyFont="1" applyFill="1" applyBorder="1" applyAlignment="1">
      <alignment vertical="center"/>
    </xf>
    <xf numFmtId="43" fontId="59" fillId="0" borderId="5" xfId="1" applyFont="1" applyFill="1" applyBorder="1" applyAlignment="1"/>
    <xf numFmtId="43" fontId="59" fillId="0" borderId="5" xfId="3" applyFont="1" applyFill="1" applyBorder="1" applyAlignment="1"/>
    <xf numFmtId="43" fontId="59" fillId="0" borderId="5" xfId="3" applyFont="1" applyFill="1" applyBorder="1" applyAlignment="1">
      <alignment horizontal="center" vertical="center"/>
    </xf>
    <xf numFmtId="43" fontId="47" fillId="0" borderId="5" xfId="3" applyFont="1" applyFill="1" applyBorder="1" applyAlignment="1">
      <alignment horizontal="center"/>
    </xf>
    <xf numFmtId="43" fontId="47" fillId="0" borderId="12" xfId="3" applyFont="1" applyFill="1" applyBorder="1" applyAlignment="1"/>
    <xf numFmtId="43" fontId="47" fillId="0" borderId="14" xfId="3" applyFont="1" applyFill="1" applyBorder="1" applyAlignment="1"/>
    <xf numFmtId="43" fontId="59" fillId="0" borderId="14" xfId="3" applyFont="1" applyFill="1" applyBorder="1" applyAlignment="1"/>
    <xf numFmtId="43" fontId="59" fillId="0" borderId="16" xfId="3" applyFont="1" applyFill="1" applyBorder="1" applyAlignment="1"/>
    <xf numFmtId="43" fontId="47" fillId="0" borderId="16" xfId="3" applyFont="1" applyFill="1" applyBorder="1" applyAlignment="1"/>
    <xf numFmtId="0" fontId="47" fillId="0" borderId="0" xfId="0" applyFont="1" applyFill="1"/>
    <xf numFmtId="0" fontId="16" fillId="0" borderId="11" xfId="0" applyFont="1" applyBorder="1" applyAlignment="1">
      <alignment horizontal="center"/>
    </xf>
    <xf numFmtId="0" fontId="19" fillId="0" borderId="0" xfId="0" applyFont="1"/>
    <xf numFmtId="49" fontId="19" fillId="0" borderId="13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43" fontId="24" fillId="0" borderId="13" xfId="1" applyFont="1" applyFill="1" applyBorder="1"/>
    <xf numFmtId="0" fontId="3" fillId="2" borderId="16" xfId="0" applyFont="1" applyFill="1" applyBorder="1" applyAlignment="1">
      <alignment horizontal="center"/>
    </xf>
    <xf numFmtId="0" fontId="2" fillId="0" borderId="0" xfId="0" applyFont="1" applyFill="1"/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87" fontId="2" fillId="0" borderId="23" xfId="1" applyNumberFormat="1" applyFont="1" applyBorder="1"/>
    <xf numFmtId="43" fontId="2" fillId="0" borderId="23" xfId="1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187" fontId="2" fillId="0" borderId="24" xfId="1" applyNumberFormat="1" applyFont="1" applyBorder="1"/>
    <xf numFmtId="43" fontId="2" fillId="0" borderId="24" xfId="1" applyFont="1" applyBorder="1"/>
    <xf numFmtId="0" fontId="2" fillId="0" borderId="25" xfId="0" applyFont="1" applyBorder="1"/>
    <xf numFmtId="0" fontId="2" fillId="0" borderId="25" xfId="0" applyFont="1" applyBorder="1" applyAlignment="1">
      <alignment horizontal="center"/>
    </xf>
    <xf numFmtId="187" fontId="2" fillId="0" borderId="25" xfId="1" applyNumberFormat="1" applyFont="1" applyBorder="1"/>
    <xf numFmtId="43" fontId="2" fillId="0" borderId="25" xfId="1" applyFont="1" applyBorder="1"/>
    <xf numFmtId="0" fontId="3" fillId="2" borderId="14" xfId="0" applyFont="1" applyFill="1" applyBorder="1" applyAlignment="1">
      <alignment horizontal="center"/>
    </xf>
    <xf numFmtId="187" fontId="3" fillId="2" borderId="14" xfId="1" applyNumberFormat="1" applyFont="1" applyFill="1" applyBorder="1"/>
    <xf numFmtId="43" fontId="3" fillId="2" borderId="14" xfId="1" applyFont="1" applyFill="1" applyBorder="1"/>
    <xf numFmtId="187" fontId="3" fillId="2" borderId="16" xfId="1" applyNumberFormat="1" applyFont="1" applyFill="1" applyBorder="1"/>
    <xf numFmtId="43" fontId="3" fillId="2" borderId="16" xfId="1" applyFont="1" applyFill="1" applyBorder="1"/>
    <xf numFmtId="0" fontId="26" fillId="0" borderId="24" xfId="0" applyFont="1" applyFill="1" applyBorder="1"/>
    <xf numFmtId="0" fontId="26" fillId="0" borderId="26" xfId="0" applyFont="1" applyFill="1" applyBorder="1"/>
    <xf numFmtId="0" fontId="26" fillId="0" borderId="25" xfId="0" applyFont="1" applyFill="1" applyBorder="1"/>
    <xf numFmtId="43" fontId="10" fillId="0" borderId="0" xfId="1" applyFont="1" applyFill="1" applyBorder="1"/>
    <xf numFmtId="43" fontId="10" fillId="0" borderId="11" xfId="1" applyFont="1" applyFill="1" applyBorder="1"/>
    <xf numFmtId="43" fontId="24" fillId="0" borderId="10" xfId="1" applyFont="1" applyFill="1" applyBorder="1"/>
    <xf numFmtId="43" fontId="10" fillId="0" borderId="10" xfId="1" applyFont="1" applyFill="1" applyBorder="1"/>
    <xf numFmtId="43" fontId="24" fillId="0" borderId="10" xfId="3" applyFont="1" applyFill="1" applyBorder="1"/>
    <xf numFmtId="43" fontId="24" fillId="0" borderId="8" xfId="3" applyFont="1" applyFill="1" applyBorder="1"/>
    <xf numFmtId="0" fontId="33" fillId="0" borderId="5" xfId="0" applyFont="1" applyFill="1" applyBorder="1" applyAlignment="1">
      <alignment horizontal="center"/>
    </xf>
    <xf numFmtId="43" fontId="2" fillId="0" borderId="0" xfId="1" applyFont="1" applyFill="1"/>
    <xf numFmtId="43" fontId="2" fillId="0" borderId="0" xfId="1" applyFont="1" applyFill="1" applyBorder="1"/>
    <xf numFmtId="43" fontId="9" fillId="0" borderId="34" xfId="1" applyFont="1" applyFill="1" applyBorder="1"/>
    <xf numFmtId="0" fontId="49" fillId="0" borderId="13" xfId="0" applyFont="1" applyFill="1" applyBorder="1" applyAlignment="1">
      <alignment horizontal="center"/>
    </xf>
    <xf numFmtId="0" fontId="48" fillId="0" borderId="13" xfId="0" applyFont="1" applyFill="1" applyBorder="1" applyAlignment="1">
      <alignment horizontal="center"/>
    </xf>
    <xf numFmtId="0" fontId="48" fillId="0" borderId="12" xfId="0" applyFont="1" applyFill="1" applyBorder="1" applyAlignment="1">
      <alignment horizontal="center"/>
    </xf>
    <xf numFmtId="43" fontId="49" fillId="0" borderId="12" xfId="1" applyFont="1" applyFill="1" applyBorder="1"/>
    <xf numFmtId="189" fontId="49" fillId="0" borderId="12" xfId="0" applyNumberFormat="1" applyFont="1" applyFill="1" applyBorder="1"/>
    <xf numFmtId="43" fontId="48" fillId="0" borderId="12" xfId="0" applyNumberFormat="1" applyFont="1" applyFill="1" applyBorder="1" applyAlignment="1"/>
    <xf numFmtId="43" fontId="49" fillId="0" borderId="13" xfId="1" applyFont="1" applyFill="1" applyBorder="1" applyAlignment="1">
      <alignment horizontal="center"/>
    </xf>
    <xf numFmtId="189" fontId="49" fillId="0" borderId="13" xfId="0" applyNumberFormat="1" applyFont="1" applyFill="1" applyBorder="1" applyAlignment="1">
      <alignment horizontal="center"/>
    </xf>
    <xf numFmtId="0" fontId="48" fillId="0" borderId="25" xfId="0" quotePrefix="1" applyFont="1" applyFill="1" applyBorder="1" applyAlignment="1">
      <alignment horizontal="center"/>
    </xf>
    <xf numFmtId="0" fontId="48" fillId="0" borderId="23" xfId="0" quotePrefix="1" applyFont="1" applyFill="1" applyBorder="1" applyAlignment="1">
      <alignment horizontal="center"/>
    </xf>
    <xf numFmtId="43" fontId="48" fillId="0" borderId="31" xfId="1" applyFont="1" applyFill="1" applyBorder="1" applyAlignment="1">
      <alignment horizontal="left"/>
    </xf>
    <xf numFmtId="0" fontId="49" fillId="0" borderId="5" xfId="0" applyFont="1" applyFill="1" applyBorder="1" applyAlignment="1"/>
    <xf numFmtId="0" fontId="49" fillId="0" borderId="5" xfId="0" applyFont="1" applyFill="1" applyBorder="1" applyAlignment="1">
      <alignment horizontal="left"/>
    </xf>
    <xf numFmtId="0" fontId="27" fillId="0" borderId="24" xfId="0" applyFont="1" applyFill="1" applyBorder="1" applyAlignment="1">
      <alignment horizontal="left"/>
    </xf>
    <xf numFmtId="189" fontId="38" fillId="0" borderId="24" xfId="0" applyNumberFormat="1" applyFont="1" applyFill="1" applyBorder="1"/>
    <xf numFmtId="0" fontId="61" fillId="0" borderId="24" xfId="0" applyFont="1" applyFill="1" applyBorder="1"/>
    <xf numFmtId="0" fontId="61" fillId="0" borderId="24" xfId="0" applyFont="1" applyFill="1" applyBorder="1" applyAlignment="1">
      <alignment horizontal="center"/>
    </xf>
    <xf numFmtId="189" fontId="61" fillId="0" borderId="24" xfId="0" applyNumberFormat="1" applyFont="1" applyFill="1" applyBorder="1"/>
    <xf numFmtId="43" fontId="48" fillId="0" borderId="24" xfId="1" applyFont="1" applyFill="1" applyBorder="1" applyAlignment="1">
      <alignment horizontal="center"/>
    </xf>
    <xf numFmtId="43" fontId="48" fillId="0" borderId="24" xfId="0" applyNumberFormat="1" applyFont="1" applyFill="1" applyBorder="1" applyAlignment="1">
      <alignment horizontal="center"/>
    </xf>
    <xf numFmtId="0" fontId="19" fillId="0" borderId="0" xfId="0" applyFont="1" applyBorder="1"/>
    <xf numFmtId="43" fontId="19" fillId="0" borderId="0" xfId="1" applyFont="1" applyFill="1"/>
    <xf numFmtId="43" fontId="10" fillId="0" borderId="6" xfId="1" applyFont="1" applyFill="1" applyBorder="1"/>
    <xf numFmtId="43" fontId="10" fillId="0" borderId="17" xfId="1" applyFont="1" applyFill="1" applyBorder="1"/>
    <xf numFmtId="43" fontId="22" fillId="0" borderId="17" xfId="1" applyFont="1" applyFill="1" applyBorder="1" applyAlignment="1"/>
    <xf numFmtId="189" fontId="10" fillId="0" borderId="0" xfId="1" applyNumberFormat="1" applyFont="1" applyFill="1" applyBorder="1"/>
    <xf numFmtId="189" fontId="10" fillId="0" borderId="2" xfId="1" applyNumberFormat="1" applyFont="1" applyFill="1" applyBorder="1"/>
    <xf numFmtId="43" fontId="10" fillId="0" borderId="9" xfId="1" applyFont="1" applyFill="1" applyBorder="1"/>
    <xf numFmtId="0" fontId="10" fillId="0" borderId="10" xfId="0" applyFont="1" applyFill="1" applyBorder="1"/>
    <xf numFmtId="0" fontId="10" fillId="0" borderId="0" xfId="0" applyFont="1" applyFill="1" applyBorder="1"/>
    <xf numFmtId="43" fontId="10" fillId="0" borderId="0" xfId="1" applyFont="1" applyFill="1"/>
    <xf numFmtId="43" fontId="10" fillId="0" borderId="2" xfId="1" applyFont="1" applyFill="1" applyBorder="1"/>
    <xf numFmtId="43" fontId="48" fillId="0" borderId="24" xfId="1" applyFont="1" applyFill="1" applyBorder="1" applyAlignment="1">
      <alignment horizontal="right"/>
    </xf>
    <xf numFmtId="43" fontId="48" fillId="0" borderId="24" xfId="1" applyFont="1" applyFill="1" applyBorder="1" applyAlignment="1"/>
    <xf numFmtId="43" fontId="61" fillId="0" borderId="24" xfId="1" applyFont="1" applyFill="1" applyBorder="1" applyAlignment="1">
      <alignment horizontal="right"/>
    </xf>
    <xf numFmtId="0" fontId="17" fillId="0" borderId="0" xfId="0" applyFont="1" applyFill="1" applyBorder="1"/>
    <xf numFmtId="0" fontId="18" fillId="0" borderId="0" xfId="0" applyFont="1" applyFill="1" applyBorder="1"/>
    <xf numFmtId="43" fontId="19" fillId="0" borderId="0" xfId="1" applyFont="1" applyFill="1" applyBorder="1" applyAlignment="1">
      <alignment horizontal="center" vertical="center" wrapText="1"/>
    </xf>
    <xf numFmtId="43" fontId="17" fillId="0" borderId="2" xfId="1" applyFont="1" applyFill="1" applyBorder="1" applyAlignment="1">
      <alignment horizontal="center"/>
    </xf>
    <xf numFmtId="0" fontId="53" fillId="0" borderId="0" xfId="0" applyFont="1" applyFill="1" applyBorder="1" applyAlignment="1">
      <alignment horizontal="left"/>
    </xf>
    <xf numFmtId="43" fontId="63" fillId="0" borderId="3" xfId="0" applyNumberFormat="1" applyFont="1" applyBorder="1"/>
    <xf numFmtId="0" fontId="20" fillId="0" borderId="0" xfId="0" applyFont="1" applyFill="1" applyBorder="1" applyAlignment="1">
      <alignment horizontal="left"/>
    </xf>
    <xf numFmtId="43" fontId="53" fillId="0" borderId="0" xfId="1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43" fontId="63" fillId="0" borderId="4" xfId="0" applyNumberFormat="1" applyFont="1" applyFill="1" applyBorder="1" applyAlignment="1">
      <alignment horizontal="center"/>
    </xf>
    <xf numFmtId="43" fontId="53" fillId="0" borderId="0" xfId="1" applyFont="1" applyFill="1" applyBorder="1" applyAlignment="1"/>
    <xf numFmtId="43" fontId="53" fillId="0" borderId="0" xfId="1" applyFont="1" applyFill="1" applyBorder="1" applyAlignment="1">
      <alignment horizontal="right"/>
    </xf>
    <xf numFmtId="0" fontId="64" fillId="0" borderId="0" xfId="0" applyFont="1" applyFill="1" applyBorder="1" applyAlignment="1">
      <alignment horizontal="left"/>
    </xf>
    <xf numFmtId="43" fontId="64" fillId="0" borderId="0" xfId="1" applyFont="1" applyFill="1" applyBorder="1" applyAlignment="1">
      <alignment horizontal="center" vertical="center" wrapText="1"/>
    </xf>
    <xf numFmtId="0" fontId="65" fillId="0" borderId="0" xfId="0" applyFont="1" applyBorder="1"/>
    <xf numFmtId="0" fontId="64" fillId="0" borderId="0" xfId="0" applyFont="1" applyBorder="1"/>
    <xf numFmtId="43" fontId="64" fillId="0" borderId="0" xfId="1" applyFont="1" applyBorder="1"/>
    <xf numFmtId="43" fontId="64" fillId="0" borderId="2" xfId="1" applyFont="1" applyBorder="1"/>
    <xf numFmtId="43" fontId="63" fillId="0" borderId="1" xfId="1" applyFont="1" applyFill="1" applyBorder="1" applyAlignment="1">
      <alignment horizontal="center"/>
    </xf>
    <xf numFmtId="43" fontId="53" fillId="0" borderId="2" xfId="1" applyFont="1" applyFill="1" applyBorder="1" applyAlignment="1">
      <alignment horizontal="right"/>
    </xf>
    <xf numFmtId="0" fontId="34" fillId="0" borderId="0" xfId="0" applyFont="1" applyFill="1" applyBorder="1"/>
    <xf numFmtId="43" fontId="34" fillId="0" borderId="0" xfId="1" applyFont="1" applyFill="1" applyBorder="1"/>
    <xf numFmtId="43" fontId="34" fillId="0" borderId="14" xfId="1" applyFont="1" applyFill="1" applyBorder="1"/>
    <xf numFmtId="0" fontId="16" fillId="0" borderId="0" xfId="0" applyFont="1" applyFill="1" applyAlignment="1">
      <alignment horizontal="right"/>
    </xf>
    <xf numFmtId="0" fontId="19" fillId="0" borderId="10" xfId="0" applyFont="1" applyBorder="1" applyAlignment="1">
      <alignment horizontal="center"/>
    </xf>
    <xf numFmtId="0" fontId="0" fillId="0" borderId="0" xfId="0" applyFont="1" applyFill="1"/>
    <xf numFmtId="43" fontId="21" fillId="0" borderId="0" xfId="1" applyNumberFormat="1" applyFont="1" applyFill="1"/>
    <xf numFmtId="0" fontId="28" fillId="0" borderId="0" xfId="0" applyFont="1" applyFill="1"/>
    <xf numFmtId="15" fontId="21" fillId="0" borderId="5" xfId="0" applyNumberFormat="1" applyFont="1" applyFill="1" applyBorder="1"/>
    <xf numFmtId="0" fontId="21" fillId="0" borderId="5" xfId="0" applyFont="1" applyFill="1" applyBorder="1" applyAlignment="1">
      <alignment horizontal="left"/>
    </xf>
    <xf numFmtId="43" fontId="21" fillId="0" borderId="5" xfId="1" applyFont="1" applyFill="1" applyBorder="1"/>
    <xf numFmtId="43" fontId="60" fillId="0" borderId="5" xfId="1" applyFont="1" applyFill="1" applyBorder="1" applyAlignment="1">
      <alignment horizontal="center" vertical="center" wrapText="1"/>
    </xf>
    <xf numFmtId="43" fontId="21" fillId="0" borderId="5" xfId="1" applyFont="1" applyFill="1" applyBorder="1" applyAlignment="1">
      <alignment horizontal="center" vertical="center" wrapText="1"/>
    </xf>
    <xf numFmtId="43" fontId="28" fillId="0" borderId="5" xfId="1" applyFont="1" applyFill="1" applyBorder="1"/>
    <xf numFmtId="15" fontId="21" fillId="0" borderId="0" xfId="0" applyNumberFormat="1" applyFont="1" applyFill="1" applyBorder="1"/>
    <xf numFmtId="49" fontId="19" fillId="0" borderId="0" xfId="0" applyNumberFormat="1" applyFont="1" applyAlignment="1">
      <alignment horizontal="center"/>
    </xf>
    <xf numFmtId="0" fontId="16" fillId="0" borderId="0" xfId="0" applyFont="1" applyBorder="1" applyAlignment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49" fontId="16" fillId="0" borderId="5" xfId="0" applyNumberFormat="1" applyFont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43" fontId="16" fillId="0" borderId="5" xfId="1" applyFont="1" applyFill="1" applyBorder="1" applyAlignment="1">
      <alignment horizontal="center"/>
    </xf>
    <xf numFmtId="0" fontId="16" fillId="0" borderId="6" xfId="0" applyFont="1" applyBorder="1" applyAlignment="1"/>
    <xf numFmtId="0" fontId="19" fillId="0" borderId="17" xfId="0" applyFont="1" applyBorder="1" applyAlignment="1"/>
    <xf numFmtId="49" fontId="16" fillId="0" borderId="13" xfId="0" applyNumberFormat="1" applyFont="1" applyBorder="1" applyAlignment="1">
      <alignment horizontal="center"/>
    </xf>
    <xf numFmtId="0" fontId="19" fillId="0" borderId="12" xfId="0" applyFont="1" applyFill="1" applyBorder="1" applyAlignment="1"/>
    <xf numFmtId="49" fontId="16" fillId="0" borderId="0" xfId="0" applyNumberFormat="1" applyFont="1" applyBorder="1" applyAlignment="1">
      <alignment horizontal="center"/>
    </xf>
    <xf numFmtId="43" fontId="16" fillId="0" borderId="0" xfId="1" applyFont="1" applyBorder="1"/>
    <xf numFmtId="43" fontId="19" fillId="0" borderId="13" xfId="1" applyFont="1" applyFill="1" applyBorder="1" applyAlignment="1">
      <alignment horizontal="center"/>
    </xf>
    <xf numFmtId="43" fontId="19" fillId="0" borderId="13" xfId="1" applyFont="1" applyFill="1" applyBorder="1" applyAlignment="1">
      <alignment horizontal="center" vertical="center"/>
    </xf>
    <xf numFmtId="0" fontId="19" fillId="0" borderId="13" xfId="0" applyFont="1" applyBorder="1" applyAlignment="1"/>
    <xf numFmtId="49" fontId="16" fillId="0" borderId="13" xfId="0" applyNumberFormat="1" applyFont="1" applyFill="1" applyBorder="1" applyAlignment="1">
      <alignment horizontal="center"/>
    </xf>
    <xf numFmtId="43" fontId="19" fillId="0" borderId="0" xfId="1" applyFont="1" applyFill="1" applyBorder="1"/>
    <xf numFmtId="0" fontId="19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left"/>
    </xf>
    <xf numFmtId="49" fontId="19" fillId="0" borderId="13" xfId="0" applyNumberFormat="1" applyFont="1" applyFill="1" applyBorder="1" applyAlignment="1">
      <alignment horizontal="center"/>
    </xf>
    <xf numFmtId="0" fontId="19" fillId="0" borderId="13" xfId="0" applyFont="1" applyFill="1" applyBorder="1" applyAlignment="1"/>
    <xf numFmtId="0" fontId="69" fillId="0" borderId="0" xfId="0" applyFont="1" applyBorder="1"/>
    <xf numFmtId="0" fontId="16" fillId="0" borderId="13" xfId="0" applyFont="1" applyFill="1" applyBorder="1" applyAlignment="1"/>
    <xf numFmtId="0" fontId="16" fillId="0" borderId="10" xfId="0" applyFont="1" applyBorder="1" applyAlignment="1">
      <alignment horizontal="center"/>
    </xf>
    <xf numFmtId="43" fontId="16" fillId="0" borderId="13" xfId="1" applyFont="1" applyFill="1" applyBorder="1"/>
    <xf numFmtId="43" fontId="16" fillId="0" borderId="13" xfId="1" applyFont="1" applyFill="1" applyBorder="1" applyAlignment="1">
      <alignment horizontal="center"/>
    </xf>
    <xf numFmtId="0" fontId="16" fillId="0" borderId="10" xfId="0" applyFont="1" applyBorder="1" applyAlignment="1"/>
    <xf numFmtId="0" fontId="16" fillId="0" borderId="11" xfId="0" applyFont="1" applyBorder="1" applyAlignment="1"/>
    <xf numFmtId="49" fontId="16" fillId="0" borderId="0" xfId="0" applyNumberFormat="1" applyFont="1" applyBorder="1"/>
    <xf numFmtId="0" fontId="16" fillId="0" borderId="11" xfId="0" applyFont="1" applyBorder="1" applyAlignment="1">
      <alignment horizontal="left"/>
    </xf>
    <xf numFmtId="49" fontId="19" fillId="0" borderId="0" xfId="0" applyNumberFormat="1" applyFont="1" applyBorder="1"/>
    <xf numFmtId="43" fontId="19" fillId="0" borderId="0" xfId="1" applyFont="1" applyBorder="1"/>
    <xf numFmtId="43" fontId="19" fillId="0" borderId="0" xfId="0" applyNumberFormat="1" applyFont="1" applyBorder="1"/>
    <xf numFmtId="0" fontId="16" fillId="0" borderId="13" xfId="0" applyFont="1" applyBorder="1" applyAlignment="1"/>
    <xf numFmtId="0" fontId="19" fillId="0" borderId="0" xfId="0" applyFont="1" applyBorder="1" applyAlignment="1"/>
    <xf numFmtId="0" fontId="19" fillId="0" borderId="11" xfId="0" applyFont="1" applyBorder="1" applyAlignment="1"/>
    <xf numFmtId="49" fontId="19" fillId="0" borderId="10" xfId="0" applyNumberFormat="1" applyFont="1" applyBorder="1" applyAlignment="1">
      <alignment horizontal="center"/>
    </xf>
    <xf numFmtId="49" fontId="16" fillId="0" borderId="14" xfId="0" applyNumberFormat="1" applyFont="1" applyBorder="1" applyAlignment="1">
      <alignment horizontal="center"/>
    </xf>
    <xf numFmtId="43" fontId="16" fillId="0" borderId="16" xfId="1" applyFont="1" applyFill="1" applyBorder="1"/>
    <xf numFmtId="43" fontId="16" fillId="0" borderId="16" xfId="1" applyFont="1" applyFill="1" applyBorder="1" applyAlignment="1">
      <alignment horizontal="center"/>
    </xf>
    <xf numFmtId="49" fontId="19" fillId="0" borderId="0" xfId="0" applyNumberFormat="1" applyFont="1" applyBorder="1" applyAlignment="1">
      <alignment horizontal="center"/>
    </xf>
    <xf numFmtId="43" fontId="19" fillId="0" borderId="0" xfId="1" applyFont="1" applyFill="1" applyBorder="1" applyAlignment="1">
      <alignment horizontal="center"/>
    </xf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187" fontId="2" fillId="0" borderId="14" xfId="1" applyNumberFormat="1" applyFont="1" applyBorder="1"/>
    <xf numFmtId="43" fontId="2" fillId="0" borderId="14" xfId="1" applyFont="1" applyBorder="1"/>
    <xf numFmtId="0" fontId="2" fillId="0" borderId="0" xfId="0" applyFont="1" applyFill="1" applyAlignment="1">
      <alignment horizontal="center" vertical="center"/>
    </xf>
    <xf numFmtId="0" fontId="22" fillId="0" borderId="0" xfId="2" applyFont="1" applyFill="1" applyBorder="1" applyAlignment="1">
      <alignment horizontal="center"/>
    </xf>
    <xf numFmtId="15" fontId="29" fillId="0" borderId="5" xfId="0" applyNumberFormat="1" applyFont="1" applyFill="1" applyBorder="1"/>
    <xf numFmtId="43" fontId="29" fillId="0" borderId="5" xfId="1" applyFont="1" applyFill="1" applyBorder="1"/>
    <xf numFmtId="43" fontId="32" fillId="0" borderId="14" xfId="1" applyFont="1" applyFill="1" applyBorder="1"/>
    <xf numFmtId="0" fontId="29" fillId="0" borderId="5" xfId="0" applyFont="1" applyFill="1" applyBorder="1"/>
    <xf numFmtId="0" fontId="70" fillId="0" borderId="13" xfId="0" applyFont="1" applyFill="1" applyBorder="1"/>
    <xf numFmtId="0" fontId="50" fillId="0" borderId="13" xfId="0" applyFont="1" applyFill="1" applyBorder="1"/>
    <xf numFmtId="0" fontId="50" fillId="0" borderId="11" xfId="0" applyFont="1" applyFill="1" applyBorder="1"/>
    <xf numFmtId="43" fontId="51" fillId="0" borderId="0" xfId="1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43" fontId="50" fillId="0" borderId="13" xfId="1" applyFont="1" applyFill="1" applyBorder="1"/>
    <xf numFmtId="43" fontId="50" fillId="0" borderId="11" xfId="1" applyFont="1" applyFill="1" applyBorder="1"/>
    <xf numFmtId="43" fontId="50" fillId="0" borderId="0" xfId="1" applyFont="1" applyFill="1"/>
    <xf numFmtId="0" fontId="50" fillId="0" borderId="13" xfId="0" applyFont="1" applyFill="1" applyBorder="1" applyAlignment="1">
      <alignment horizontal="left"/>
    </xf>
    <xf numFmtId="43" fontId="50" fillId="0" borderId="5" xfId="0" applyNumberFormat="1" applyFont="1" applyFill="1" applyBorder="1"/>
    <xf numFmtId="0" fontId="51" fillId="0" borderId="0" xfId="0" applyFont="1" applyFill="1" applyBorder="1" applyAlignment="1">
      <alignment horizontal="center" vertical="center"/>
    </xf>
    <xf numFmtId="0" fontId="50" fillId="0" borderId="0" xfId="0" applyFont="1" applyFill="1"/>
    <xf numFmtId="0" fontId="7" fillId="0" borderId="0" xfId="2" applyFont="1" applyFill="1" applyBorder="1" applyAlignment="1">
      <alignment horizontal="center"/>
    </xf>
    <xf numFmtId="0" fontId="51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44" fillId="0" borderId="5" xfId="0" applyFont="1" applyFill="1" applyBorder="1" applyAlignment="1">
      <alignment horizontal="center" vertical="center"/>
    </xf>
    <xf numFmtId="0" fontId="48" fillId="0" borderId="12" xfId="0" applyFont="1" applyFill="1" applyBorder="1" applyAlignment="1">
      <alignment horizontal="left"/>
    </xf>
    <xf numFmtId="189" fontId="48" fillId="0" borderId="23" xfId="0" applyNumberFormat="1" applyFont="1" applyFill="1" applyBorder="1" applyAlignment="1">
      <alignment horizontal="center"/>
    </xf>
    <xf numFmtId="189" fontId="48" fillId="0" borderId="25" xfId="0" applyNumberFormat="1" applyFont="1" applyFill="1" applyBorder="1" applyAlignment="1">
      <alignment horizontal="center"/>
    </xf>
    <xf numFmtId="189" fontId="49" fillId="0" borderId="25" xfId="0" applyNumberFormat="1" applyFont="1" applyFill="1" applyBorder="1"/>
    <xf numFmtId="189" fontId="61" fillId="0" borderId="25" xfId="0" applyNumberFormat="1" applyFont="1" applyFill="1" applyBorder="1" applyAlignment="1">
      <alignment horizontal="left"/>
    </xf>
    <xf numFmtId="43" fontId="45" fillId="0" borderId="23" xfId="1" applyFont="1" applyFill="1" applyBorder="1"/>
    <xf numFmtId="43" fontId="45" fillId="0" borderId="23" xfId="1" applyFont="1" applyFill="1" applyBorder="1" applyAlignment="1">
      <alignment horizontal="center"/>
    </xf>
    <xf numFmtId="43" fontId="45" fillId="0" borderId="24" xfId="1" applyFont="1" applyFill="1" applyBorder="1"/>
    <xf numFmtId="43" fontId="45" fillId="0" borderId="24" xfId="1" applyFont="1" applyFill="1" applyBorder="1" applyAlignment="1">
      <alignment horizontal="center"/>
    </xf>
    <xf numFmtId="43" fontId="45" fillId="0" borderId="25" xfId="1" applyFont="1" applyFill="1" applyBorder="1"/>
    <xf numFmtId="43" fontId="45" fillId="0" borderId="25" xfId="1" applyFont="1" applyFill="1" applyBorder="1" applyAlignment="1">
      <alignment horizontal="center"/>
    </xf>
    <xf numFmtId="0" fontId="45" fillId="0" borderId="23" xfId="0" applyFont="1" applyFill="1" applyBorder="1"/>
    <xf numFmtId="0" fontId="45" fillId="0" borderId="24" xfId="0" applyFont="1" applyFill="1" applyBorder="1"/>
    <xf numFmtId="0" fontId="45" fillId="0" borderId="25" xfId="0" applyFont="1" applyFill="1" applyBorder="1"/>
    <xf numFmtId="43" fontId="61" fillId="0" borderId="24" xfId="1" applyFont="1" applyFill="1" applyBorder="1"/>
    <xf numFmtId="43" fontId="48" fillId="0" borderId="25" xfId="1" applyFont="1" applyFill="1" applyBorder="1" applyAlignment="1">
      <alignment horizontal="center"/>
    </xf>
    <xf numFmtId="43" fontId="48" fillId="0" borderId="25" xfId="0" applyNumberFormat="1" applyFont="1" applyFill="1" applyBorder="1" applyAlignment="1">
      <alignment horizontal="center"/>
    </xf>
    <xf numFmtId="43" fontId="48" fillId="0" borderId="23" xfId="1" applyFont="1" applyFill="1" applyBorder="1" applyAlignment="1">
      <alignment horizontal="center"/>
    </xf>
    <xf numFmtId="43" fontId="48" fillId="0" borderId="23" xfId="1" applyFont="1" applyFill="1" applyBorder="1" applyAlignment="1"/>
    <xf numFmtId="43" fontId="48" fillId="0" borderId="25" xfId="1" applyFont="1" applyFill="1" applyBorder="1" applyAlignment="1"/>
    <xf numFmtId="0" fontId="50" fillId="0" borderId="24" xfId="0" applyFont="1" applyFill="1" applyBorder="1" applyAlignment="1">
      <alignment horizontal="left"/>
    </xf>
    <xf numFmtId="43" fontId="40" fillId="0" borderId="0" xfId="1" applyFont="1" applyFill="1"/>
    <xf numFmtId="43" fontId="40" fillId="0" borderId="0" xfId="0" applyNumberFormat="1" applyFont="1" applyFill="1"/>
    <xf numFmtId="0" fontId="23" fillId="0" borderId="0" xfId="0" applyFont="1" applyFill="1"/>
    <xf numFmtId="43" fontId="33" fillId="0" borderId="0" xfId="1" applyFont="1" applyFill="1" applyBorder="1"/>
    <xf numFmtId="43" fontId="67" fillId="0" borderId="16" xfId="1" applyNumberFormat="1" applyFont="1" applyFill="1" applyBorder="1"/>
    <xf numFmtId="0" fontId="33" fillId="0" borderId="0" xfId="0" applyFont="1" applyFill="1" applyBorder="1" applyAlignment="1">
      <alignment horizontal="center" vertical="center"/>
    </xf>
    <xf numFmtId="0" fontId="10" fillId="0" borderId="0" xfId="0" applyFont="1" applyFill="1"/>
    <xf numFmtId="43" fontId="41" fillId="0" borderId="0" xfId="1" applyFont="1" applyFill="1"/>
    <xf numFmtId="0" fontId="42" fillId="0" borderId="0" xfId="0" applyFont="1" applyFill="1"/>
    <xf numFmtId="43" fontId="43" fillId="0" borderId="0" xfId="1" applyFont="1" applyFill="1"/>
    <xf numFmtId="0" fontId="24" fillId="0" borderId="10" xfId="0" applyFont="1" applyFill="1" applyBorder="1"/>
    <xf numFmtId="0" fontId="26" fillId="0" borderId="0" xfId="0" applyFont="1" applyFill="1" applyAlignment="1">
      <alignment horizontal="center"/>
    </xf>
    <xf numFmtId="0" fontId="24" fillId="0" borderId="10" xfId="0" applyFont="1" applyFill="1" applyBorder="1" applyAlignment="1"/>
    <xf numFmtId="0" fontId="51" fillId="0" borderId="5" xfId="0" applyFont="1" applyFill="1" applyBorder="1" applyAlignment="1">
      <alignment horizontal="center"/>
    </xf>
    <xf numFmtId="43" fontId="51" fillId="0" borderId="22" xfId="1" applyFont="1" applyFill="1" applyBorder="1" applyAlignment="1">
      <alignment horizontal="center"/>
    </xf>
    <xf numFmtId="43" fontId="51" fillId="0" borderId="5" xfId="1" applyFont="1" applyFill="1" applyBorder="1" applyAlignment="1">
      <alignment horizontal="center"/>
    </xf>
    <xf numFmtId="0" fontId="50" fillId="0" borderId="10" xfId="0" applyFont="1" applyFill="1" applyBorder="1"/>
    <xf numFmtId="49" fontId="50" fillId="0" borderId="13" xfId="0" applyNumberFormat="1" applyFont="1" applyFill="1" applyBorder="1" applyAlignment="1">
      <alignment horizontal="center"/>
    </xf>
    <xf numFmtId="43" fontId="50" fillId="0" borderId="10" xfId="1" applyFont="1" applyFill="1" applyBorder="1"/>
    <xf numFmtId="43" fontId="50" fillId="0" borderId="12" xfId="1" applyFont="1" applyFill="1" applyBorder="1"/>
    <xf numFmtId="43" fontId="50" fillId="0" borderId="10" xfId="1" applyFont="1" applyFill="1" applyBorder="1" applyAlignment="1">
      <alignment horizontal="center"/>
    </xf>
    <xf numFmtId="0" fontId="50" fillId="0" borderId="13" xfId="0" applyFont="1" applyFill="1" applyBorder="1" applyAlignment="1">
      <alignment horizontal="center"/>
    </xf>
    <xf numFmtId="0" fontId="50" fillId="0" borderId="10" xfId="0" applyFont="1" applyFill="1" applyBorder="1" applyAlignment="1"/>
    <xf numFmtId="43" fontId="50" fillId="0" borderId="8" xfId="1" applyFont="1" applyFill="1" applyBorder="1"/>
    <xf numFmtId="43" fontId="50" fillId="0" borderId="14" xfId="1" applyFont="1" applyFill="1" applyBorder="1"/>
    <xf numFmtId="0" fontId="50" fillId="0" borderId="14" xfId="0" applyFont="1" applyFill="1" applyBorder="1"/>
    <xf numFmtId="43" fontId="50" fillId="0" borderId="16" xfId="1" applyFont="1" applyFill="1" applyBorder="1"/>
    <xf numFmtId="43" fontId="50" fillId="0" borderId="21" xfId="1" applyFont="1" applyFill="1" applyBorder="1"/>
    <xf numFmtId="43" fontId="50" fillId="0" borderId="0" xfId="0" applyNumberFormat="1" applyFont="1" applyFill="1"/>
    <xf numFmtId="0" fontId="19" fillId="0" borderId="10" xfId="0" applyFont="1" applyFill="1" applyBorder="1" applyAlignment="1">
      <alignment horizontal="center"/>
    </xf>
    <xf numFmtId="0" fontId="19" fillId="0" borderId="0" xfId="0" applyFont="1" applyFill="1" applyBorder="1" applyAlignment="1"/>
    <xf numFmtId="0" fontId="19" fillId="0" borderId="11" xfId="0" applyFont="1" applyFill="1" applyBorder="1" applyAlignment="1"/>
    <xf numFmtId="0" fontId="59" fillId="0" borderId="22" xfId="0" applyFont="1" applyFill="1" applyBorder="1" applyAlignment="1">
      <alignment horizontal="center" vertical="center"/>
    </xf>
    <xf numFmtId="0" fontId="59" fillId="0" borderId="5" xfId="0" applyFont="1" applyFill="1" applyBorder="1" applyAlignment="1">
      <alignment horizontal="center" vertical="center"/>
    </xf>
    <xf numFmtId="0" fontId="59" fillId="0" borderId="10" xfId="0" applyFont="1" applyFill="1" applyBorder="1" applyAlignment="1">
      <alignment horizontal="left" vertical="center"/>
    </xf>
    <xf numFmtId="0" fontId="47" fillId="0" borderId="10" xfId="0" applyFont="1" applyFill="1" applyBorder="1" applyAlignment="1">
      <alignment horizontal="left" vertical="center"/>
    </xf>
    <xf numFmtId="0" fontId="47" fillId="0" borderId="10" xfId="0" applyFont="1" applyFill="1" applyBorder="1" applyAlignment="1">
      <alignment horizontal="left"/>
    </xf>
    <xf numFmtId="43" fontId="47" fillId="0" borderId="10" xfId="3" applyFont="1" applyFill="1" applyBorder="1" applyAlignment="1">
      <alignment horizontal="left"/>
    </xf>
    <xf numFmtId="43" fontId="26" fillId="0" borderId="0" xfId="1" applyFont="1" applyFill="1"/>
    <xf numFmtId="43" fontId="59" fillId="0" borderId="5" xfId="3" applyFont="1" applyFill="1" applyBorder="1" applyAlignment="1">
      <alignment horizontal="center"/>
    </xf>
    <xf numFmtId="43" fontId="59" fillId="0" borderId="6" xfId="3" applyFont="1" applyFill="1" applyBorder="1" applyAlignment="1">
      <alignment horizontal="left"/>
    </xf>
    <xf numFmtId="43" fontId="29" fillId="0" borderId="0" xfId="1" applyFont="1" applyFill="1"/>
    <xf numFmtId="43" fontId="59" fillId="0" borderId="21" xfId="3" applyFont="1" applyFill="1" applyBorder="1" applyAlignment="1">
      <alignment horizontal="center"/>
    </xf>
    <xf numFmtId="43" fontId="29" fillId="0" borderId="0" xfId="0" applyNumberFormat="1" applyFont="1" applyFill="1"/>
    <xf numFmtId="0" fontId="25" fillId="0" borderId="0" xfId="0" applyFont="1" applyFill="1"/>
    <xf numFmtId="0" fontId="25" fillId="0" borderId="0" xfId="0" applyFont="1" applyFill="1" applyAlignment="1">
      <alignment horizontal="center"/>
    </xf>
    <xf numFmtId="43" fontId="26" fillId="0" borderId="0" xfId="1" applyFont="1" applyFill="1" applyAlignment="1">
      <alignment horizontal="center"/>
    </xf>
    <xf numFmtId="43" fontId="26" fillId="0" borderId="2" xfId="1" applyFont="1" applyFill="1" applyBorder="1"/>
    <xf numFmtId="43" fontId="25" fillId="0" borderId="3" xfId="1" applyFont="1" applyFill="1" applyBorder="1"/>
    <xf numFmtId="43" fontId="26" fillId="0" borderId="3" xfId="1" applyFont="1" applyFill="1" applyBorder="1"/>
    <xf numFmtId="0" fontId="18" fillId="0" borderId="0" xfId="0" applyFont="1" applyFill="1" applyAlignment="1">
      <alignment horizontal="left"/>
    </xf>
    <xf numFmtId="0" fontId="18" fillId="0" borderId="5" xfId="0" applyFont="1" applyFill="1" applyBorder="1" applyAlignment="1">
      <alignment horizontal="center"/>
    </xf>
    <xf numFmtId="43" fontId="18" fillId="0" borderId="5" xfId="1" applyFont="1" applyFill="1" applyBorder="1" applyAlignment="1">
      <alignment horizontal="center"/>
    </xf>
    <xf numFmtId="0" fontId="17" fillId="0" borderId="26" xfId="0" applyFont="1" applyFill="1" applyBorder="1"/>
    <xf numFmtId="43" fontId="17" fillId="0" borderId="26" xfId="1" applyFont="1" applyFill="1" applyBorder="1"/>
    <xf numFmtId="43" fontId="17" fillId="0" borderId="24" xfId="1" applyFont="1" applyFill="1" applyBorder="1"/>
    <xf numFmtId="43" fontId="17" fillId="0" borderId="31" xfId="1" applyFont="1" applyFill="1" applyBorder="1"/>
    <xf numFmtId="0" fontId="18" fillId="0" borderId="0" xfId="0" applyFont="1" applyFill="1" applyBorder="1" applyAlignment="1">
      <alignment horizontal="right" vertical="center"/>
    </xf>
    <xf numFmtId="43" fontId="17" fillId="0" borderId="23" xfId="1" applyFont="1" applyFill="1" applyBorder="1"/>
    <xf numFmtId="43" fontId="17" fillId="0" borderId="25" xfId="1" applyFont="1" applyFill="1" applyBorder="1"/>
    <xf numFmtId="0" fontId="3" fillId="0" borderId="0" xfId="0" applyFont="1" applyFill="1"/>
    <xf numFmtId="43" fontId="3" fillId="0" borderId="3" xfId="1" applyFont="1" applyFill="1" applyBorder="1"/>
    <xf numFmtId="43" fontId="3" fillId="0" borderId="0" xfId="1" applyFont="1" applyFill="1"/>
    <xf numFmtId="0" fontId="52" fillId="0" borderId="0" xfId="0" applyFont="1" applyFill="1"/>
    <xf numFmtId="0" fontId="20" fillId="0" borderId="0" xfId="0" applyFont="1" applyFill="1"/>
    <xf numFmtId="43" fontId="53" fillId="0" borderId="0" xfId="1" applyNumberFormat="1" applyFont="1" applyFill="1"/>
    <xf numFmtId="0" fontId="26" fillId="0" borderId="5" xfId="0" applyFont="1" applyFill="1" applyBorder="1" applyAlignment="1">
      <alignment horizontal="center"/>
    </xf>
    <xf numFmtId="43" fontId="24" fillId="0" borderId="5" xfId="0" applyNumberFormat="1" applyFont="1" applyFill="1" applyBorder="1" applyAlignment="1">
      <alignment horizontal="center" vertical="center" wrapText="1"/>
    </xf>
    <xf numFmtId="43" fontId="24" fillId="0" borderId="24" xfId="1" applyNumberFormat="1" applyFont="1" applyFill="1" applyBorder="1"/>
    <xf numFmtId="43" fontId="24" fillId="0" borderId="16" xfId="1" applyNumberFormat="1" applyFont="1" applyFill="1" applyBorder="1"/>
    <xf numFmtId="0" fontId="26" fillId="0" borderId="23" xfId="0" applyFont="1" applyFill="1" applyBorder="1" applyAlignment="1">
      <alignment horizontal="left"/>
    </xf>
    <xf numFmtId="0" fontId="26" fillId="0" borderId="23" xfId="0" applyFont="1" applyFill="1" applyBorder="1"/>
    <xf numFmtId="43" fontId="24" fillId="0" borderId="23" xfId="1" applyNumberFormat="1" applyFont="1" applyFill="1" applyBorder="1"/>
    <xf numFmtId="0" fontId="26" fillId="0" borderId="24" xfId="0" applyFont="1" applyFill="1" applyBorder="1" applyAlignment="1">
      <alignment horizontal="left"/>
    </xf>
    <xf numFmtId="0" fontId="29" fillId="0" borderId="24" xfId="0" applyFont="1" applyFill="1" applyBorder="1"/>
    <xf numFmtId="0" fontId="27" fillId="0" borderId="25" xfId="0" applyFont="1" applyFill="1" applyBorder="1"/>
    <xf numFmtId="43" fontId="24" fillId="0" borderId="25" xfId="1" applyNumberFormat="1" applyFont="1" applyFill="1" applyBorder="1"/>
    <xf numFmtId="43" fontId="24" fillId="0" borderId="26" xfId="1" applyNumberFormat="1" applyFont="1" applyFill="1" applyBorder="1"/>
    <xf numFmtId="0" fontId="27" fillId="0" borderId="24" xfId="0" applyFont="1" applyFill="1" applyBorder="1"/>
    <xf numFmtId="0" fontId="24" fillId="0" borderId="24" xfId="0" applyFont="1" applyFill="1" applyBorder="1"/>
    <xf numFmtId="0" fontId="3" fillId="0" borderId="0" xfId="0" applyFont="1" applyFill="1" applyAlignment="1">
      <alignment horizontal="center"/>
    </xf>
    <xf numFmtId="0" fontId="10" fillId="0" borderId="6" xfId="0" applyFont="1" applyFill="1" applyBorder="1"/>
    <xf numFmtId="0" fontId="10" fillId="0" borderId="17" xfId="0" applyFont="1" applyFill="1" applyBorder="1"/>
    <xf numFmtId="43" fontId="22" fillId="0" borderId="7" xfId="1" applyFont="1" applyFill="1" applyBorder="1" applyAlignment="1"/>
    <xf numFmtId="0" fontId="11" fillId="0" borderId="10" xfId="0" applyFont="1" applyFill="1" applyBorder="1"/>
    <xf numFmtId="0" fontId="24" fillId="0" borderId="0" xfId="0" applyFont="1" applyFill="1" applyBorder="1"/>
    <xf numFmtId="0" fontId="10" fillId="0" borderId="8" xfId="0" applyFont="1" applyFill="1" applyBorder="1"/>
    <xf numFmtId="0" fontId="10" fillId="0" borderId="2" xfId="0" applyFont="1" applyFill="1" applyBorder="1"/>
    <xf numFmtId="43" fontId="10" fillId="0" borderId="8" xfId="1" applyFont="1" applyFill="1" applyBorder="1"/>
    <xf numFmtId="49" fontId="9" fillId="0" borderId="0" xfId="1" applyNumberFormat="1" applyFont="1" applyFill="1" applyAlignment="1">
      <alignment horizontal="center"/>
    </xf>
    <xf numFmtId="43" fontId="9" fillId="0" borderId="0" xfId="1" applyFont="1" applyFill="1"/>
    <xf numFmtId="43" fontId="10" fillId="0" borderId="0" xfId="1" applyFont="1" applyFill="1" applyAlignment="1">
      <alignment horizontal="center"/>
    </xf>
    <xf numFmtId="0" fontId="58" fillId="0" borderId="0" xfId="0" applyFont="1" applyFill="1"/>
    <xf numFmtId="43" fontId="22" fillId="0" borderId="7" xfId="3" applyFont="1" applyFill="1" applyBorder="1"/>
    <xf numFmtId="0" fontId="24" fillId="0" borderId="0" xfId="0" applyFont="1" applyFill="1" applyBorder="1" applyAlignment="1"/>
    <xf numFmtId="189" fontId="10" fillId="0" borderId="9" xfId="1" applyNumberFormat="1" applyFont="1" applyFill="1" applyBorder="1"/>
    <xf numFmtId="0" fontId="21" fillId="0" borderId="5" xfId="0" applyFont="1" applyFill="1" applyBorder="1"/>
    <xf numFmtId="43" fontId="32" fillId="0" borderId="5" xfId="1" applyFont="1" applyFill="1" applyBorder="1"/>
    <xf numFmtId="0" fontId="21" fillId="0" borderId="14" xfId="0" applyFont="1" applyFill="1" applyBorder="1"/>
    <xf numFmtId="43" fontId="21" fillId="0" borderId="14" xfId="1" applyFont="1" applyFill="1" applyBorder="1"/>
    <xf numFmtId="0" fontId="21" fillId="0" borderId="0" xfId="0" applyFont="1" applyFill="1" applyBorder="1"/>
    <xf numFmtId="43" fontId="21" fillId="0" borderId="0" xfId="1" applyFont="1" applyFill="1" applyBorder="1"/>
    <xf numFmtId="0" fontId="21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50" fillId="0" borderId="0" xfId="0" applyFont="1"/>
    <xf numFmtId="43" fontId="50" fillId="0" borderId="0" xfId="1" applyFont="1"/>
    <xf numFmtId="43" fontId="3" fillId="0" borderId="5" xfId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3" fontId="3" fillId="0" borderId="18" xfId="1" applyFont="1" applyFill="1" applyBorder="1" applyAlignment="1">
      <alignment horizontal="center" vertical="center"/>
    </xf>
    <xf numFmtId="43" fontId="3" fillId="0" borderId="18" xfId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indent="1"/>
    </xf>
    <xf numFmtId="43" fontId="3" fillId="0" borderId="20" xfId="1" applyFont="1" applyFill="1" applyBorder="1" applyAlignment="1">
      <alignment horizontal="center" vertical="center"/>
    </xf>
    <xf numFmtId="43" fontId="3" fillId="0" borderId="20" xfId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indent="1"/>
    </xf>
    <xf numFmtId="43" fontId="2" fillId="0" borderId="20" xfId="1" applyFont="1" applyFill="1" applyBorder="1"/>
    <xf numFmtId="0" fontId="2" fillId="0" borderId="19" xfId="0" applyFont="1" applyFill="1" applyBorder="1"/>
    <xf numFmtId="43" fontId="2" fillId="0" borderId="19" xfId="1" applyFont="1" applyFill="1" applyBorder="1"/>
    <xf numFmtId="43" fontId="2" fillId="0" borderId="16" xfId="1" applyFont="1" applyFill="1" applyBorder="1"/>
    <xf numFmtId="43" fontId="3" fillId="0" borderId="5" xfId="1" applyFont="1" applyFill="1" applyBorder="1" applyAlignment="1">
      <alignment horizontal="center" vertical="center"/>
    </xf>
    <xf numFmtId="43" fontId="33" fillId="0" borderId="16" xfId="1" applyFont="1" applyFill="1" applyBorder="1"/>
    <xf numFmtId="0" fontId="39" fillId="0" borderId="0" xfId="0" applyFont="1" applyFill="1"/>
    <xf numFmtId="0" fontId="53" fillId="0" borderId="0" xfId="0" applyFont="1" applyFill="1"/>
    <xf numFmtId="0" fontId="63" fillId="0" borderId="0" xfId="0" applyFont="1" applyFill="1"/>
    <xf numFmtId="49" fontId="53" fillId="0" borderId="0" xfId="0" applyNumberFormat="1" applyFont="1" applyFill="1"/>
    <xf numFmtId="0" fontId="53" fillId="0" borderId="0" xfId="0" applyFont="1" applyFill="1" applyAlignment="1">
      <alignment wrapText="1"/>
    </xf>
    <xf numFmtId="0" fontId="53" fillId="0" borderId="0" xfId="0" applyFont="1" applyFill="1" applyAlignment="1">
      <alignment horizontal="left"/>
    </xf>
    <xf numFmtId="49" fontId="63" fillId="0" borderId="0" xfId="0" applyNumberFormat="1" applyFont="1" applyFill="1"/>
    <xf numFmtId="0" fontId="63" fillId="0" borderId="0" xfId="0" applyFont="1" applyFill="1" applyAlignment="1">
      <alignment horizontal="right"/>
    </xf>
    <xf numFmtId="0" fontId="63" fillId="0" borderId="0" xfId="0" applyFont="1" applyFill="1" applyAlignment="1">
      <alignment horizontal="left"/>
    </xf>
    <xf numFmtId="4" fontId="63" fillId="0" borderId="0" xfId="0" applyNumberFormat="1" applyFont="1" applyFill="1" applyBorder="1"/>
    <xf numFmtId="0" fontId="53" fillId="0" borderId="0" xfId="0" applyFont="1" applyFill="1" applyAlignment="1">
      <alignment horizontal="right"/>
    </xf>
    <xf numFmtId="49" fontId="63" fillId="0" borderId="0" xfId="0" applyNumberFormat="1" applyFont="1" applyFill="1" applyAlignment="1">
      <alignment horizontal="left"/>
    </xf>
    <xf numFmtId="4" fontId="63" fillId="0" borderId="0" xfId="0" applyNumberFormat="1" applyFont="1" applyFill="1" applyBorder="1" applyAlignment="1">
      <alignment horizontal="right"/>
    </xf>
    <xf numFmtId="0" fontId="62" fillId="0" borderId="0" xfId="0" applyFont="1" applyFill="1"/>
    <xf numFmtId="0" fontId="53" fillId="0" borderId="0" xfId="0" applyFont="1" applyFill="1" applyBorder="1" applyAlignment="1">
      <alignment horizontal="right"/>
    </xf>
    <xf numFmtId="188" fontId="53" fillId="0" borderId="0" xfId="0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53" fillId="0" borderId="0" xfId="0" applyFont="1" applyFill="1" applyBorder="1"/>
    <xf numFmtId="0" fontId="63" fillId="0" borderId="0" xfId="0" applyFont="1" applyFill="1" applyBorder="1" applyAlignment="1">
      <alignment horizontal="center" wrapText="1"/>
    </xf>
    <xf numFmtId="4" fontId="53" fillId="0" borderId="3" xfId="0" applyNumberFormat="1" applyFont="1" applyFill="1" applyBorder="1" applyAlignment="1">
      <alignment horizontal="right"/>
    </xf>
    <xf numFmtId="4" fontId="53" fillId="0" borderId="0" xfId="0" applyNumberFormat="1" applyFont="1" applyFill="1" applyBorder="1" applyAlignment="1">
      <alignment horizontal="right"/>
    </xf>
    <xf numFmtId="49" fontId="63" fillId="0" borderId="0" xfId="0" applyNumberFormat="1" applyFont="1" applyFill="1" applyBorder="1" applyAlignment="1">
      <alignment horizontal="left"/>
    </xf>
    <xf numFmtId="0" fontId="53" fillId="0" borderId="0" xfId="0" applyFont="1" applyFill="1" applyBorder="1" applyAlignment="1">
      <alignment wrapText="1"/>
    </xf>
    <xf numFmtId="4" fontId="19" fillId="0" borderId="3" xfId="0" applyNumberFormat="1" applyFont="1" applyFill="1" applyBorder="1" applyAlignment="1">
      <alignment horizontal="right"/>
    </xf>
    <xf numFmtId="0" fontId="63" fillId="0" borderId="0" xfId="0" applyFont="1" applyFill="1" applyBorder="1" applyAlignment="1">
      <alignment horizontal="right" wrapText="1"/>
    </xf>
    <xf numFmtId="43" fontId="63" fillId="0" borderId="0" xfId="1" applyFont="1" applyFill="1" applyBorder="1" applyAlignment="1">
      <alignment horizontal="right"/>
    </xf>
    <xf numFmtId="49" fontId="53" fillId="0" borderId="0" xfId="0" applyNumberFormat="1" applyFont="1" applyFill="1" applyBorder="1"/>
    <xf numFmtId="0" fontId="25" fillId="0" borderId="14" xfId="0" applyFont="1" applyFill="1" applyBorder="1" applyAlignment="1">
      <alignment horizontal="center"/>
    </xf>
    <xf numFmtId="0" fontId="25" fillId="0" borderId="12" xfId="0" applyFont="1" applyFill="1" applyBorder="1"/>
    <xf numFmtId="49" fontId="26" fillId="0" borderId="5" xfId="1" applyNumberFormat="1" applyFont="1" applyFill="1" applyBorder="1" applyAlignment="1">
      <alignment horizontal="center"/>
    </xf>
    <xf numFmtId="0" fontId="26" fillId="0" borderId="12" xfId="0" applyFont="1" applyFill="1" applyBorder="1"/>
    <xf numFmtId="0" fontId="22" fillId="0" borderId="10" xfId="0" applyFont="1" applyFill="1" applyBorder="1" applyAlignment="1">
      <alignment vertical="top"/>
    </xf>
    <xf numFmtId="43" fontId="25" fillId="0" borderId="10" xfId="1" applyFont="1" applyFill="1" applyBorder="1"/>
    <xf numFmtId="43" fontId="26" fillId="0" borderId="13" xfId="1" applyFont="1" applyFill="1" applyBorder="1"/>
    <xf numFmtId="0" fontId="26" fillId="0" borderId="13" xfId="0" applyFont="1" applyFill="1" applyBorder="1"/>
    <xf numFmtId="0" fontId="24" fillId="0" borderId="10" xfId="0" applyFont="1" applyFill="1" applyBorder="1" applyAlignment="1">
      <alignment horizontal="left" vertical="center"/>
    </xf>
    <xf numFmtId="43" fontId="26" fillId="0" borderId="13" xfId="1" applyFont="1" applyFill="1" applyBorder="1" applyAlignment="1">
      <alignment horizontal="center"/>
    </xf>
    <xf numFmtId="0" fontId="22" fillId="0" borderId="10" xfId="0" applyFont="1" applyFill="1" applyBorder="1" applyAlignment="1">
      <alignment horizontal="left" vertical="center"/>
    </xf>
    <xf numFmtId="43" fontId="26" fillId="0" borderId="10" xfId="1" applyFont="1" applyFill="1" applyBorder="1" applyAlignment="1">
      <alignment horizontal="center"/>
    </xf>
    <xf numFmtId="0" fontId="24" fillId="0" borderId="10" xfId="0" applyFont="1" applyFill="1" applyBorder="1" applyAlignment="1">
      <alignment horizontal="left"/>
    </xf>
    <xf numFmtId="43" fontId="24" fillId="0" borderId="10" xfId="1" applyFont="1" applyFill="1" applyBorder="1" applyAlignment="1">
      <alignment horizontal="left"/>
    </xf>
    <xf numFmtId="43" fontId="24" fillId="0" borderId="10" xfId="3" applyFont="1" applyFill="1" applyBorder="1" applyAlignment="1">
      <alignment horizontal="left"/>
    </xf>
    <xf numFmtId="43" fontId="24" fillId="0" borderId="13" xfId="1" applyFont="1" applyFill="1" applyBorder="1" applyAlignment="1">
      <alignment horizontal="center"/>
    </xf>
    <xf numFmtId="43" fontId="72" fillId="0" borderId="13" xfId="1" applyFont="1" applyFill="1" applyBorder="1"/>
    <xf numFmtId="0" fontId="25" fillId="0" borderId="13" xfId="0" applyFont="1" applyFill="1" applyBorder="1"/>
    <xf numFmtId="43" fontId="25" fillId="0" borderId="13" xfId="1" applyFont="1" applyFill="1" applyBorder="1"/>
    <xf numFmtId="43" fontId="25" fillId="0" borderId="16" xfId="1" applyFont="1" applyFill="1" applyBorder="1" applyAlignment="1">
      <alignment horizontal="center"/>
    </xf>
    <xf numFmtId="43" fontId="25" fillId="0" borderId="16" xfId="1" applyFont="1" applyFill="1" applyBorder="1"/>
    <xf numFmtId="0" fontId="26" fillId="0" borderId="14" xfId="0" applyFont="1" applyFill="1" applyBorder="1"/>
    <xf numFmtId="43" fontId="25" fillId="0" borderId="16" xfId="0" applyNumberFormat="1" applyFont="1" applyFill="1" applyBorder="1"/>
    <xf numFmtId="43" fontId="26" fillId="0" borderId="0" xfId="0" applyNumberFormat="1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43" fontId="67" fillId="0" borderId="0" xfId="1" applyNumberFormat="1" applyFont="1" applyFill="1" applyBorder="1"/>
    <xf numFmtId="0" fontId="73" fillId="0" borderId="0" xfId="0" applyFont="1" applyFill="1"/>
    <xf numFmtId="0" fontId="66" fillId="0" borderId="0" xfId="0" applyFont="1" applyFill="1"/>
    <xf numFmtId="43" fontId="66" fillId="0" borderId="0" xfId="0" applyNumberFormat="1" applyFont="1" applyFill="1"/>
    <xf numFmtId="43" fontId="67" fillId="0" borderId="0" xfId="1" applyFont="1" applyFill="1"/>
    <xf numFmtId="43" fontId="67" fillId="0" borderId="0" xfId="1" applyNumberFormat="1" applyFont="1" applyFill="1"/>
    <xf numFmtId="0" fontId="67" fillId="0" borderId="0" xfId="0" applyFont="1" applyFill="1"/>
    <xf numFmtId="43" fontId="74" fillId="0" borderId="0" xfId="1" applyFont="1" applyFill="1"/>
    <xf numFmtId="0" fontId="35" fillId="0" borderId="13" xfId="0" applyFont="1" applyFill="1" applyBorder="1"/>
    <xf numFmtId="0" fontId="12" fillId="0" borderId="0" xfId="0" applyFont="1" applyAlignment="1">
      <alignment horizontal="left"/>
    </xf>
    <xf numFmtId="0" fontId="52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43" fontId="53" fillId="0" borderId="0" xfId="1" applyFont="1" applyBorder="1" applyAlignment="1">
      <alignment horizontal="center" vertical="center" wrapText="1"/>
    </xf>
    <xf numFmtId="43" fontId="49" fillId="0" borderId="14" xfId="1" applyFont="1" applyFill="1" applyBorder="1"/>
    <xf numFmtId="43" fontId="48" fillId="0" borderId="13" xfId="1" applyFont="1" applyFill="1" applyBorder="1"/>
    <xf numFmtId="43" fontId="49" fillId="0" borderId="31" xfId="1" applyFont="1" applyFill="1" applyBorder="1"/>
    <xf numFmtId="43" fontId="61" fillId="0" borderId="25" xfId="1" applyFont="1" applyFill="1" applyBorder="1"/>
    <xf numFmtId="0" fontId="49" fillId="0" borderId="5" xfId="0" applyFont="1" applyFill="1" applyBorder="1" applyAlignment="1">
      <alignment horizontal="right"/>
    </xf>
    <xf numFmtId="189" fontId="49" fillId="0" borderId="5" xfId="0" applyNumberFormat="1" applyFont="1" applyFill="1" applyBorder="1" applyAlignment="1">
      <alignment horizontal="center"/>
    </xf>
    <xf numFmtId="43" fontId="48" fillId="0" borderId="26" xfId="1" applyFont="1" applyFill="1" applyBorder="1" applyAlignment="1">
      <alignment horizontal="right"/>
    </xf>
    <xf numFmtId="43" fontId="48" fillId="0" borderId="26" xfId="1" applyFont="1" applyFill="1" applyBorder="1" applyAlignment="1"/>
    <xf numFmtId="43" fontId="48" fillId="0" borderId="31" xfId="1" applyFont="1" applyFill="1" applyBorder="1" applyAlignment="1">
      <alignment horizontal="right"/>
    </xf>
    <xf numFmtId="43" fontId="48" fillId="0" borderId="31" xfId="1" applyFont="1" applyFill="1" applyBorder="1" applyAlignment="1"/>
    <xf numFmtId="43" fontId="48" fillId="0" borderId="13" xfId="1" applyFont="1" applyFill="1" applyBorder="1" applyAlignment="1">
      <alignment horizontal="center"/>
    </xf>
    <xf numFmtId="43" fontId="27" fillId="0" borderId="24" xfId="1" applyFont="1" applyFill="1" applyBorder="1" applyAlignment="1">
      <alignment horizontal="left"/>
    </xf>
    <xf numFmtId="0" fontId="51" fillId="0" borderId="5" xfId="0" applyFont="1" applyFill="1" applyBorder="1" applyAlignment="1">
      <alignment horizontal="right"/>
    </xf>
    <xf numFmtId="43" fontId="48" fillId="0" borderId="5" xfId="0" applyNumberFormat="1" applyFont="1" applyFill="1" applyBorder="1" applyAlignment="1">
      <alignment horizontal="center"/>
    </xf>
    <xf numFmtId="0" fontId="19" fillId="0" borderId="11" xfId="0" applyFont="1" applyBorder="1" applyAlignment="1">
      <alignment horizontal="left"/>
    </xf>
    <xf numFmtId="0" fontId="51" fillId="0" borderId="0" xfId="0" applyFont="1" applyFill="1" applyAlignment="1">
      <alignment horizontal="center"/>
    </xf>
    <xf numFmtId="0" fontId="51" fillId="0" borderId="2" xfId="0" applyFont="1" applyFill="1" applyBorder="1" applyAlignment="1">
      <alignment horizontal="center"/>
    </xf>
    <xf numFmtId="43" fontId="51" fillId="0" borderId="22" xfId="1" applyFont="1" applyFill="1" applyBorder="1" applyAlignment="1">
      <alignment horizontal="center"/>
    </xf>
    <xf numFmtId="43" fontId="51" fillId="0" borderId="15" xfId="1" applyFont="1" applyFill="1" applyBorder="1" applyAlignment="1">
      <alignment horizontal="center"/>
    </xf>
    <xf numFmtId="0" fontId="51" fillId="0" borderId="5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51" fillId="0" borderId="22" xfId="0" applyFont="1" applyFill="1" applyBorder="1" applyAlignment="1">
      <alignment horizontal="center"/>
    </xf>
    <xf numFmtId="0" fontId="51" fillId="0" borderId="15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9" fillId="0" borderId="0" xfId="0" applyFont="1" applyBorder="1" applyAlignment="1">
      <alignment horizontal="left"/>
    </xf>
    <xf numFmtId="49" fontId="16" fillId="0" borderId="14" xfId="0" applyNumberFormat="1" applyFont="1" applyBorder="1" applyAlignment="1">
      <alignment horizontal="center"/>
    </xf>
    <xf numFmtId="0" fontId="19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0" xfId="0" applyFont="1" applyBorder="1" applyAlignment="1"/>
    <xf numFmtId="0" fontId="16" fillId="0" borderId="0" xfId="0" applyFont="1" applyBorder="1" applyAlignment="1"/>
    <xf numFmtId="0" fontId="16" fillId="0" borderId="1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49" fontId="19" fillId="0" borderId="0" xfId="0" applyNumberFormat="1" applyFont="1" applyBorder="1" applyAlignment="1">
      <alignment horizontal="left"/>
    </xf>
    <xf numFmtId="49" fontId="19" fillId="0" borderId="11" xfId="0" applyNumberFormat="1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5" xfId="0" applyFont="1" applyBorder="1" applyAlignment="1">
      <alignment horizontal="center"/>
    </xf>
    <xf numFmtId="0" fontId="19" fillId="0" borderId="13" xfId="0" applyFont="1" applyBorder="1" applyAlignment="1">
      <alignment horizontal="left"/>
    </xf>
    <xf numFmtId="0" fontId="16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43" fontId="25" fillId="0" borderId="6" xfId="1" applyFont="1" applyFill="1" applyBorder="1" applyAlignment="1">
      <alignment horizontal="center" vertical="center" wrapText="1"/>
    </xf>
    <xf numFmtId="43" fontId="25" fillId="0" borderId="7" xfId="1" applyFont="1" applyFill="1" applyBorder="1" applyAlignment="1">
      <alignment horizontal="center" vertical="center" wrapText="1"/>
    </xf>
    <xf numFmtId="43" fontId="25" fillId="0" borderId="8" xfId="1" applyFont="1" applyFill="1" applyBorder="1" applyAlignment="1">
      <alignment horizontal="center" vertical="center" wrapText="1"/>
    </xf>
    <xf numFmtId="43" fontId="25" fillId="0" borderId="9" xfId="1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59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 wrapText="1" readingOrder="1"/>
    </xf>
    <xf numFmtId="0" fontId="22" fillId="0" borderId="0" xfId="2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 vertical="center" wrapText="1" readingOrder="1"/>
    </xf>
    <xf numFmtId="0" fontId="5" fillId="0" borderId="0" xfId="0" applyNumberFormat="1" applyFont="1" applyFill="1" applyBorder="1" applyAlignment="1">
      <alignment horizontal="center" vertical="center" wrapText="1" readingOrder="1"/>
    </xf>
    <xf numFmtId="0" fontId="7" fillId="0" borderId="0" xfId="2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17" fillId="0" borderId="29" xfId="0" applyFont="1" applyFill="1" applyBorder="1" applyAlignment="1"/>
    <xf numFmtId="0" fontId="17" fillId="0" borderId="30" xfId="0" applyFont="1" applyFill="1" applyBorder="1" applyAlignment="1"/>
    <xf numFmtId="0" fontId="17" fillId="0" borderId="26" xfId="0" applyFont="1" applyFill="1" applyBorder="1" applyAlignment="1"/>
    <xf numFmtId="0" fontId="16" fillId="0" borderId="0" xfId="0" applyFont="1" applyFill="1" applyAlignment="1">
      <alignment horizontal="center" vertical="center" wrapText="1"/>
    </xf>
    <xf numFmtId="0" fontId="18" fillId="0" borderId="5" xfId="0" applyFont="1" applyFill="1" applyBorder="1" applyAlignment="1">
      <alignment horizontal="center"/>
    </xf>
    <xf numFmtId="0" fontId="17" fillId="0" borderId="27" xfId="0" applyFont="1" applyFill="1" applyBorder="1" applyAlignment="1"/>
    <xf numFmtId="0" fontId="17" fillId="0" borderId="28" xfId="0" applyFont="1" applyFill="1" applyBorder="1" applyAlignment="1"/>
    <xf numFmtId="0" fontId="18" fillId="0" borderId="22" xfId="0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right" vertical="center"/>
    </xf>
    <xf numFmtId="0" fontId="25" fillId="0" borderId="5" xfId="0" applyFont="1" applyFill="1" applyBorder="1" applyAlignment="1">
      <alignment horizontal="center" vertical="center"/>
    </xf>
    <xf numFmtId="0" fontId="54" fillId="0" borderId="0" xfId="0" applyNumberFormat="1" applyFont="1" applyFill="1" applyBorder="1" applyAlignment="1">
      <alignment horizontal="center" vertical="center" wrapText="1" readingOrder="1"/>
    </xf>
    <xf numFmtId="0" fontId="56" fillId="0" borderId="0" xfId="2" applyFont="1" applyFill="1" applyBorder="1" applyAlignment="1">
      <alignment horizontal="center"/>
    </xf>
    <xf numFmtId="49" fontId="9" fillId="0" borderId="5" xfId="1" applyNumberFormat="1" applyFont="1" applyFill="1" applyBorder="1" applyAlignment="1">
      <alignment horizontal="center"/>
    </xf>
    <xf numFmtId="43" fontId="28" fillId="0" borderId="5" xfId="1" applyFont="1" applyFill="1" applyBorder="1" applyAlignment="1">
      <alignment horizontal="center" vertical="center" wrapText="1"/>
    </xf>
    <xf numFmtId="0" fontId="68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49" fontId="28" fillId="0" borderId="12" xfId="1" applyNumberFormat="1" applyFont="1" applyFill="1" applyBorder="1" applyAlignment="1">
      <alignment horizontal="center" vertical="center" wrapText="1"/>
    </xf>
    <xf numFmtId="49" fontId="28" fillId="0" borderId="14" xfId="1" applyNumberFormat="1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49" fontId="21" fillId="0" borderId="2" xfId="1" applyNumberFormat="1" applyFont="1" applyFill="1" applyBorder="1" applyAlignment="1">
      <alignment horizontal="center"/>
    </xf>
    <xf numFmtId="0" fontId="19" fillId="0" borderId="22" xfId="0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43" fontId="18" fillId="0" borderId="12" xfId="1" applyFont="1" applyFill="1" applyBorder="1" applyAlignment="1">
      <alignment horizontal="center" vertical="center" wrapText="1"/>
    </xf>
    <xf numFmtId="43" fontId="18" fillId="0" borderId="14" xfId="1" applyFont="1" applyFill="1" applyBorder="1" applyAlignment="1">
      <alignment horizontal="center" vertical="center" wrapText="1"/>
    </xf>
    <xf numFmtId="43" fontId="32" fillId="0" borderId="12" xfId="1" applyFont="1" applyFill="1" applyBorder="1" applyAlignment="1">
      <alignment horizontal="center" vertical="center" wrapText="1"/>
    </xf>
    <xf numFmtId="43" fontId="32" fillId="0" borderId="14" xfId="1" applyFont="1" applyFill="1" applyBorder="1" applyAlignment="1">
      <alignment horizontal="center" vertical="center" wrapText="1"/>
    </xf>
    <xf numFmtId="0" fontId="50" fillId="0" borderId="22" xfId="0" applyFont="1" applyFill="1" applyBorder="1" applyAlignment="1">
      <alignment horizontal="center"/>
    </xf>
    <xf numFmtId="0" fontId="50" fillId="0" borderId="4" xfId="0" applyFont="1" applyFill="1" applyBorder="1" applyAlignment="1">
      <alignment horizontal="center"/>
    </xf>
    <xf numFmtId="0" fontId="50" fillId="0" borderId="15" xfId="0" applyFont="1" applyFill="1" applyBorder="1" applyAlignment="1">
      <alignment horizontal="center"/>
    </xf>
    <xf numFmtId="0" fontId="50" fillId="0" borderId="0" xfId="0" applyFont="1" applyFill="1" applyAlignment="1">
      <alignment horizontal="center" vertical="justify" wrapText="1"/>
    </xf>
    <xf numFmtId="0" fontId="50" fillId="0" borderId="12" xfId="0" applyFont="1" applyFill="1" applyBorder="1" applyAlignment="1">
      <alignment horizontal="center" vertical="center" wrapText="1"/>
    </xf>
    <xf numFmtId="0" fontId="50" fillId="0" borderId="14" xfId="0" applyFont="1" applyFill="1" applyBorder="1" applyAlignment="1">
      <alignment horizontal="center" vertical="center" wrapText="1"/>
    </xf>
    <xf numFmtId="0" fontId="51" fillId="0" borderId="0" xfId="0" applyFont="1" applyFill="1" applyAlignment="1">
      <alignment horizontal="center" vertical="center"/>
    </xf>
    <xf numFmtId="0" fontId="50" fillId="0" borderId="12" xfId="0" applyFont="1" applyFill="1" applyBorder="1" applyAlignment="1">
      <alignment horizontal="center" vertical="center"/>
    </xf>
    <xf numFmtId="0" fontId="50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left" vertical="center"/>
    </xf>
    <xf numFmtId="0" fontId="34" fillId="0" borderId="17" xfId="0" applyFont="1" applyFill="1" applyBorder="1" applyAlignment="1">
      <alignment horizontal="left" vertical="center"/>
    </xf>
    <xf numFmtId="0" fontId="34" fillId="0" borderId="12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35" fillId="0" borderId="12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66" fillId="0" borderId="14" xfId="0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center"/>
    </xf>
    <xf numFmtId="0" fontId="29" fillId="0" borderId="0" xfId="0" applyFont="1" applyFill="1" applyAlignment="1">
      <alignment horizontal="center"/>
    </xf>
    <xf numFmtId="0" fontId="47" fillId="0" borderId="12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/>
    </xf>
    <xf numFmtId="0" fontId="66" fillId="0" borderId="0" xfId="0" applyFont="1" applyFill="1" applyAlignment="1">
      <alignment horizontal="center"/>
    </xf>
    <xf numFmtId="0" fontId="63" fillId="0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49" fillId="0" borderId="0" xfId="0" applyFont="1" applyFill="1" applyAlignment="1">
      <alignment horizontal="center" vertical="center" wrapText="1"/>
    </xf>
    <xf numFmtId="0" fontId="48" fillId="0" borderId="0" xfId="0" applyFont="1" applyFill="1" applyAlignment="1">
      <alignment horizontal="center" vertical="center" wrapText="1"/>
    </xf>
    <xf numFmtId="15" fontId="49" fillId="0" borderId="2" xfId="0" applyNumberFormat="1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/>
    </xf>
    <xf numFmtId="43" fontId="45" fillId="0" borderId="12" xfId="1" applyFont="1" applyFill="1" applyBorder="1" applyAlignment="1">
      <alignment horizontal="center" vertical="center"/>
    </xf>
    <xf numFmtId="43" fontId="45" fillId="0" borderId="14" xfId="1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</cellXfs>
  <cellStyles count="4"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66675</xdr:rowOff>
    </xdr:from>
    <xdr:to>
      <xdr:col>11</xdr:col>
      <xdr:colOff>180975</xdr:colOff>
      <xdr:row>5</xdr:row>
      <xdr:rowOff>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6BC00440-34C1-4319-A04A-8DCA344EC792}"/>
            </a:ext>
          </a:extLst>
        </xdr:cNvPr>
        <xdr:cNvSpPr txBox="1"/>
      </xdr:nvSpPr>
      <xdr:spPr>
        <a:xfrm>
          <a:off x="7162800" y="66675"/>
          <a:ext cx="3590925" cy="1457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6000">
              <a:solidFill>
                <a:srgbClr val="FF0000"/>
              </a:solidFill>
            </a:rPr>
            <a:t>ทำเพิ่มให้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76199</xdr:rowOff>
    </xdr:from>
    <xdr:to>
      <xdr:col>11</xdr:col>
      <xdr:colOff>219075</xdr:colOff>
      <xdr:row>4</xdr:row>
      <xdr:rowOff>219074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xmlns="" id="{9DE71083-960B-461B-A852-09CF20ADA784}"/>
            </a:ext>
          </a:extLst>
        </xdr:cNvPr>
        <xdr:cNvSpPr txBox="1"/>
      </xdr:nvSpPr>
      <xdr:spPr>
        <a:xfrm>
          <a:off x="7067550" y="76199"/>
          <a:ext cx="3590925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6000">
              <a:solidFill>
                <a:srgbClr val="FF0000"/>
              </a:solidFill>
            </a:rPr>
            <a:t>ทำเพิ่มให้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1;&#3637;&#3604;&#3591;&#3610;&#3611;&#3637;&#3591;&#3610;&#3611;&#3619;&#3632;&#3617;&#3634;&#3603;%202562/&#3591;&#3610;&#3607;&#3604;&#3621;&#3629;&#3591;%202562/&#3591;&#3610;&#3649;&#3626;&#3604;&#3591;&#3600;&#3634;&#3609;&#3632;&#3585;&#3634;&#3619;&#3648;&#3591;&#3636;&#3609;%20&#3611;&#3637;%202561%20(&#3611;&#3619;&#3633;&#3610;&#3611;&#3619;&#3640;&#3591;&#3591;&#3610;&#3605;&#3634;&#3617;%20&#3626;&#3605;&#3591;.%20&#3648;&#3586;&#3657;&#3634;&#3605;&#3619;&#3623;&#3592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1;&#3637;&#3604;&#3591;&#3610;&#3611;&#3637;&#3591;&#3610;&#3611;&#3619;&#3632;&#3617;&#3634;&#3603;%202561/&#3591;&#3610;&#3607;&#3604;&#3621;&#3629;&#3591;%202561/&#3611;&#3636;&#3604;&#3591;&#3610;&#3649;&#3626;&#3604;&#3591;&#3600;&#3634;&#3609;&#3632;&#3585;&#3634;&#3619;&#3648;&#3591;&#3636;&#3609;%20&#3611;&#3637;%202561%20(&#3610;&#3633;&#3609;&#3607;&#3638;&#3585;&#3629;&#3633;&#3605;&#3650;&#3609;&#3617;&#3633;&#3605;&#3636;).1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1;&#3637;&#3604;&#3591;&#3610;&#3611;&#3637;&#3591;&#3610;&#3611;&#3619;&#3632;&#3617;&#3634;&#3603;%202562/&#3591;&#3610;&#3607;&#3604;&#3621;&#3629;&#3591;%202561/&#3591;&#3610;&#3649;&#3626;&#3604;&#3591;&#3600;&#3634;&#3609;&#3632;&#3585;&#3634;&#3619;&#3648;&#3591;&#3636;&#3609;%20&#3611;&#3637;%202561%20(&#3611;&#3619;&#3633;&#3610;&#3611;&#3619;&#3640;&#3591;&#3591;&#3610;&#3605;&#3634;&#3617;%20&#3626;&#3605;&#3591;.%20&#3648;&#3586;&#3657;&#3634;&#3605;&#3619;&#3623;&#3592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งบทดลอง(ก่อนปิดบัญชี)"/>
      <sheetName val="งบทดลอง(หลังปิดบัญชี)"/>
      <sheetName val="งบแสดงฐานะ"/>
      <sheetName val="ข้อมูลทั่วไป"/>
      <sheetName val="เหตุ2"/>
      <sheetName val="Sheet1"/>
      <sheetName val="หมายเหตุ 3,4,5"/>
      <sheetName val="เหตุ6"/>
      <sheetName val="เหตุ7"/>
      <sheetName val="เหตุ8"/>
      <sheetName val="เหตุ9"/>
      <sheetName val="เหตุ10"/>
      <sheetName val="เหตุ11"/>
      <sheetName val="เหตุ 11.1"/>
      <sheetName val="บริหารงานทั่วไป"/>
      <sheetName val="รักษาความสงบฯ"/>
      <sheetName val="การศึกษา"/>
      <sheetName val="สาธารณสุข"/>
      <sheetName val="สังคมสงเคราะห์"/>
      <sheetName val="เคหะและชุมชน"/>
      <sheetName val="สร้างความเข้มแข็งของชุมชน"/>
      <sheetName val="การศาสนาฯ"/>
      <sheetName val="การเกษตร"/>
      <sheetName val="งบกลาง"/>
      <sheetName val="จ่ายจากแผนงานรวม"/>
      <sheetName val="รายจ่ายจากสะสม"/>
      <sheetName val="รายจ่ายจากทุนสำรอง"/>
      <sheetName val="รายจ่ายจากเงินกู้"/>
      <sheetName val="งบแสดงผลจ่ายจากรายรับ"/>
      <sheetName val="จ่ายจากเงินรายรับและเงินสะสม"/>
      <sheetName val="แสดงรับจ่ายจากสะสมทุนสะสม"/>
      <sheetName val="แสดงรับจ่ายจากสะสมและกู้"/>
      <sheetName val="1.ครุภัณฑ์"/>
      <sheetName val="2.ที่ดินและสิ่งก่อสร้าง"/>
      <sheetName val="Sheet2"/>
      <sheetName val="Sheet3"/>
      <sheetName val="ใบผ่านรายการทั่วไป"/>
      <sheetName val="Sheet4"/>
    </sheetNames>
    <sheetDataSet>
      <sheetData sheetId="0" refreshError="1"/>
      <sheetData sheetId="1" refreshError="1"/>
      <sheetData sheetId="2" refreshError="1">
        <row r="1">
          <cell r="A1" t="str">
            <v>องค์การบริหารส่วนตำบลบ้านกอก  อำเภอจัตุรัส  จังหวัดชัยภูมิ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ใบผ่านทั่วไป(ก่อนปิด)"/>
      <sheetName val="งบทดลองก่อนการปรับปรุง"/>
      <sheetName val="งบทดลองหลังปรับปรุง"/>
      <sheetName val="งบทรัพย์สินใหม่"/>
      <sheetName val="งบแสดงฐานะการเงิน1"/>
      <sheetName val="หมายเหตุ2งบทรัพย์สิน"/>
      <sheetName val="เงินฝากธนาคารและรายได้ค้างรับ"/>
      <sheetName val="ลูกหนี้เงินยืม"/>
      <sheetName val="ลูกหนี้รายได้อื่น ๆ"/>
      <sheetName val="ลูกหนี้เงินทุนเศรษฐกิจชุมชน"/>
      <sheetName val="ลูกหนี้อื่น ๆ"/>
      <sheetName val="ลูกหนี้เงินยืมเงินสะสม"/>
      <sheetName val="รายจ่ายค้างจ่าย"/>
      <sheetName val="ฎีกาค้างจ่าย"/>
      <sheetName val="เงินรับฝาก"/>
      <sheetName val="เจ้าหนี้เงินกู้"/>
      <sheetName val="เงินสะสม"/>
      <sheetName val="เงินสะสม (แบบใหม่)"/>
      <sheetName val="รายละเอียดแนบท้าย หมายเหตุ 21"/>
      <sheetName val="เงินทุนสำรองเงินสะสม"/>
      <sheetName val="แนบท้ายหมายเหตุ 22"/>
      <sheetName val="จ่ายจากเงินทุนสำรองจ่าย"/>
      <sheetName val="จ่ายจากเงินสะสม"/>
      <sheetName val="รายจ่ายตามแผนงานรวม"/>
      <sheetName val="งบแสดงจากเงินรายรับ"/>
      <sheetName val="งบแสดงจากเงินรายรับและสะสม"/>
      <sheetName val="งบแสดงจากเงินทุนสำรองเงินสะสม"/>
      <sheetName val="งบรับ-จ่ายรวมเงินอุดหนุน"/>
      <sheetName val="สรุปรายจ่ายตามงบประมาณ "/>
      <sheetName val="แผนงานงบกลาง"/>
      <sheetName val="แผนบริหารงานทั่วไป"/>
      <sheetName val="การรักษาความสงบภายใน"/>
      <sheetName val="แผนการศึกษา"/>
      <sheetName val="สาธารณสุข"/>
      <sheetName val="สังคมสงเคราะห์"/>
      <sheetName val="เคหะและชุมชน"/>
      <sheetName val="สร้างความเข้มแข็งของชุมชน"/>
      <sheetName val="ศาสนาวัฒนธรรม"/>
      <sheetName val="การเกษตร"/>
      <sheetName val="หมายเหตุประกอบงบ"/>
      <sheetName val="กระดาษทำการ 61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9">
          <cell r="D9">
            <v>4663117</v>
          </cell>
        </row>
        <row r="17">
          <cell r="D17">
            <v>0</v>
          </cell>
        </row>
      </sheetData>
      <sheetData sheetId="24" refreshError="1"/>
      <sheetData sheetId="25" refreshError="1"/>
      <sheetData sheetId="26" refreshError="1"/>
      <sheetData sheetId="27" refreshError="1">
        <row r="12">
          <cell r="B12">
            <v>304000</v>
          </cell>
        </row>
        <row r="58">
          <cell r="C58">
            <v>0</v>
          </cell>
        </row>
      </sheetData>
      <sheetData sheetId="28" refreshError="1">
        <row r="15">
          <cell r="D15">
            <v>16194980</v>
          </cell>
        </row>
        <row r="23">
          <cell r="G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</row>
        <row r="185">
          <cell r="E185">
            <v>0</v>
          </cell>
        </row>
        <row r="302">
          <cell r="E302">
            <v>0</v>
          </cell>
        </row>
        <row r="325">
          <cell r="E325">
            <v>0</v>
          </cell>
        </row>
      </sheetData>
      <sheetData sheetId="29" refreshError="1"/>
      <sheetData sheetId="30" refreshError="1"/>
      <sheetData sheetId="31" refreshError="1"/>
      <sheetData sheetId="32" refreshError="1">
        <row r="8">
          <cell r="D8">
            <v>2835940</v>
          </cell>
        </row>
        <row r="15">
          <cell r="H15">
            <v>0</v>
          </cell>
        </row>
      </sheetData>
      <sheetData sheetId="33" refreshError="1">
        <row r="9">
          <cell r="D9">
            <v>323300</v>
          </cell>
        </row>
        <row r="13">
          <cell r="H13">
            <v>0</v>
          </cell>
        </row>
      </sheetData>
      <sheetData sheetId="34" refreshError="1">
        <row r="9">
          <cell r="D9">
            <v>946980</v>
          </cell>
        </row>
        <row r="13">
          <cell r="G13">
            <v>0</v>
          </cell>
        </row>
        <row r="15">
          <cell r="G15">
            <v>0</v>
          </cell>
        </row>
        <row r="16">
          <cell r="G16">
            <v>0</v>
          </cell>
        </row>
      </sheetData>
      <sheetData sheetId="35" refreshError="1">
        <row r="9">
          <cell r="D9">
            <v>980500</v>
          </cell>
        </row>
        <row r="13">
          <cell r="I13">
            <v>0</v>
          </cell>
        </row>
        <row r="16">
          <cell r="I16">
            <v>0</v>
          </cell>
        </row>
        <row r="17">
          <cell r="I17">
            <v>0</v>
          </cell>
        </row>
      </sheetData>
      <sheetData sheetId="36" refreshError="1">
        <row r="9">
          <cell r="G9">
            <v>0</v>
          </cell>
        </row>
        <row r="10">
          <cell r="G10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</sheetData>
      <sheetData sheetId="37" refreshError="1">
        <row r="9">
          <cell r="G9">
            <v>0</v>
          </cell>
        </row>
        <row r="10">
          <cell r="G10">
            <v>0</v>
          </cell>
        </row>
        <row r="12">
          <cell r="G12">
            <v>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งบทดลอง(ก่อนปิดบัญชี)"/>
      <sheetName val="งบทดลอง(หลังปิดบัญชี)"/>
      <sheetName val="งบแสดงฐานะ"/>
      <sheetName val="ข้อมูลทั่วไป"/>
      <sheetName val="เหตุ2"/>
      <sheetName val="Sheet1"/>
      <sheetName val="หมายเหตุ 3,4"/>
      <sheetName val="เหตุ5"/>
      <sheetName val="เหตุ6"/>
      <sheetName val="เหตุ7"/>
      <sheetName val="เหตุ8"/>
      <sheetName val="เหตุ9"/>
      <sheetName val="เหตุ10"/>
      <sheetName val="เหตุ 10.1"/>
      <sheetName val="บริหารงานทั่วไป"/>
      <sheetName val="รักษาความสงบฯ"/>
      <sheetName val="การศึกษา"/>
      <sheetName val="สาธารณสุข"/>
      <sheetName val="สังคมสงเคราะห์"/>
      <sheetName val="เคหะและชุมชน"/>
      <sheetName val="สร้างความเข้มแข็งของชุมชน"/>
      <sheetName val="การศาสนาฯ"/>
      <sheetName val="การเกษตร"/>
      <sheetName val="งบกลาง"/>
      <sheetName val="จ่ายจากแผนงานรวม"/>
      <sheetName val="รายจ่ายจากสะสม"/>
      <sheetName val="รายจ่ายจากทุนสำรอง"/>
      <sheetName val="รายจ่ายจากเงินกู้"/>
      <sheetName val="งบแสดงผลจ่ายจากรายรับ"/>
      <sheetName val="จ่ายจากเงินรายรับและเงินสะสม"/>
      <sheetName val="แสดงรับจ่ายจากสะสมทุนสะสม"/>
      <sheetName val="แสดงรับจ่ายจากสะสมและกู้"/>
      <sheetName val="1.ครุภัณฑ์"/>
      <sheetName val="2.ที่ดินและสิ่งก่อสร้าง"/>
      <sheetName val="Sheet2"/>
      <sheetName val="Sheet3"/>
      <sheetName val="ใบผ่านรายการทั่วไป"/>
    </sheetNames>
    <sheetDataSet>
      <sheetData sheetId="0" refreshError="1"/>
      <sheetData sheetId="1" refreshError="1"/>
      <sheetData sheetId="2">
        <row r="1">
          <cell r="A1" t="str">
            <v>องค์การบริหารส่วนตำบลบ้านกอก  อำเภอจัตุรัส  จังหวัดชัยภูมิ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7"/>
  <sheetViews>
    <sheetView workbookViewId="0">
      <selection activeCell="J16" sqref="J16"/>
    </sheetView>
  </sheetViews>
  <sheetFormatPr defaultRowHeight="20.25"/>
  <cols>
    <col min="1" max="1" width="52.875" style="459" customWidth="1"/>
    <col min="2" max="2" width="8.875" style="459" customWidth="1"/>
    <col min="3" max="4" width="12.125" style="459" customWidth="1"/>
    <col min="5" max="8" width="12.125" style="455" customWidth="1"/>
    <col min="9" max="16384" width="9" style="459"/>
  </cols>
  <sheetData>
    <row r="1" spans="1:8">
      <c r="A1" s="687" t="s">
        <v>691</v>
      </c>
      <c r="B1" s="687"/>
      <c r="C1" s="687"/>
      <c r="D1" s="687"/>
      <c r="E1" s="687"/>
      <c r="F1" s="687"/>
      <c r="G1" s="687"/>
      <c r="H1" s="687"/>
    </row>
    <row r="2" spans="1:8">
      <c r="A2" s="687" t="s">
        <v>1266</v>
      </c>
      <c r="B2" s="687"/>
      <c r="C2" s="687"/>
      <c r="D2" s="687"/>
      <c r="E2" s="687"/>
      <c r="F2" s="687"/>
      <c r="G2" s="687"/>
      <c r="H2" s="687"/>
    </row>
    <row r="3" spans="1:8">
      <c r="A3" s="688" t="s">
        <v>809</v>
      </c>
      <c r="B3" s="688"/>
      <c r="C3" s="688"/>
      <c r="D3" s="688"/>
      <c r="E3" s="688"/>
      <c r="F3" s="688"/>
      <c r="G3" s="688"/>
      <c r="H3" s="688"/>
    </row>
    <row r="4" spans="1:8">
      <c r="A4" s="691" t="s">
        <v>291</v>
      </c>
      <c r="B4" s="691" t="s">
        <v>688</v>
      </c>
      <c r="C4" s="693" t="s">
        <v>1267</v>
      </c>
      <c r="D4" s="694"/>
      <c r="E4" s="689" t="s">
        <v>1269</v>
      </c>
      <c r="F4" s="690"/>
      <c r="G4" s="689" t="s">
        <v>1270</v>
      </c>
      <c r="H4" s="690"/>
    </row>
    <row r="5" spans="1:8">
      <c r="A5" s="692"/>
      <c r="B5" s="692"/>
      <c r="C5" s="498" t="s">
        <v>1268</v>
      </c>
      <c r="D5" s="498" t="s">
        <v>689</v>
      </c>
      <c r="E5" s="499" t="s">
        <v>1268</v>
      </c>
      <c r="F5" s="500" t="s">
        <v>689</v>
      </c>
      <c r="G5" s="500" t="s">
        <v>1268</v>
      </c>
      <c r="H5" s="500" t="s">
        <v>689</v>
      </c>
    </row>
    <row r="6" spans="1:8">
      <c r="A6" s="501" t="s">
        <v>695</v>
      </c>
      <c r="B6" s="502" t="s">
        <v>811</v>
      </c>
      <c r="C6" s="453">
        <v>54486.84</v>
      </c>
      <c r="D6" s="454"/>
      <c r="E6" s="503"/>
      <c r="F6" s="503"/>
      <c r="G6" s="504">
        <v>54486.84</v>
      </c>
      <c r="H6" s="504"/>
    </row>
    <row r="7" spans="1:8">
      <c r="A7" s="501" t="s">
        <v>696</v>
      </c>
      <c r="B7" s="502" t="s">
        <v>811</v>
      </c>
      <c r="C7" s="453">
        <v>20579941.07</v>
      </c>
      <c r="D7" s="454"/>
      <c r="E7" s="503"/>
      <c r="F7" s="503"/>
      <c r="G7" s="453">
        <v>20579941.07</v>
      </c>
      <c r="H7" s="453"/>
    </row>
    <row r="8" spans="1:8">
      <c r="A8" s="501" t="s">
        <v>697</v>
      </c>
      <c r="B8" s="502" t="s">
        <v>811</v>
      </c>
      <c r="C8" s="453">
        <v>44132.55</v>
      </c>
      <c r="D8" s="454"/>
      <c r="E8" s="503"/>
      <c r="F8" s="503"/>
      <c r="G8" s="453">
        <v>44132.55</v>
      </c>
      <c r="H8" s="453"/>
    </row>
    <row r="9" spans="1:8">
      <c r="A9" s="501" t="s">
        <v>692</v>
      </c>
      <c r="B9" s="502" t="s">
        <v>811</v>
      </c>
      <c r="C9" s="453">
        <v>3368.07</v>
      </c>
      <c r="D9" s="454"/>
      <c r="E9" s="503"/>
      <c r="F9" s="503"/>
      <c r="G9" s="453">
        <v>3368.07</v>
      </c>
      <c r="H9" s="453"/>
    </row>
    <row r="10" spans="1:8">
      <c r="A10" s="501" t="s">
        <v>693</v>
      </c>
      <c r="B10" s="502" t="s">
        <v>811</v>
      </c>
      <c r="C10" s="453">
        <v>2668829.0699999998</v>
      </c>
      <c r="D10" s="454"/>
      <c r="E10" s="503"/>
      <c r="F10" s="503"/>
      <c r="G10" s="453">
        <v>2668829.0699999998</v>
      </c>
      <c r="H10" s="453"/>
    </row>
    <row r="11" spans="1:8">
      <c r="A11" s="501" t="s">
        <v>698</v>
      </c>
      <c r="B11" s="502" t="s">
        <v>812</v>
      </c>
      <c r="C11" s="453">
        <v>10231322.5</v>
      </c>
      <c r="D11" s="454"/>
      <c r="E11" s="503"/>
      <c r="F11" s="503"/>
      <c r="G11" s="453">
        <v>10231322.5</v>
      </c>
      <c r="H11" s="453"/>
    </row>
    <row r="12" spans="1:8">
      <c r="A12" s="501" t="s">
        <v>694</v>
      </c>
      <c r="B12" s="502" t="s">
        <v>810</v>
      </c>
      <c r="C12" s="453">
        <v>24024.21</v>
      </c>
      <c r="D12" s="454"/>
      <c r="E12" s="503"/>
      <c r="F12" s="503"/>
      <c r="G12" s="453">
        <v>24024.21</v>
      </c>
      <c r="H12" s="453"/>
    </row>
    <row r="13" spans="1:8">
      <c r="A13" s="501" t="s">
        <v>813</v>
      </c>
      <c r="B13" s="502" t="s">
        <v>814</v>
      </c>
      <c r="C13" s="453">
        <v>0</v>
      </c>
      <c r="D13" s="454"/>
      <c r="E13" s="503">
        <v>19600</v>
      </c>
      <c r="F13" s="503"/>
      <c r="G13" s="453">
        <v>19600</v>
      </c>
      <c r="H13" s="453"/>
    </row>
    <row r="14" spans="1:8">
      <c r="A14" s="501" t="s">
        <v>702</v>
      </c>
      <c r="B14" s="502" t="s">
        <v>815</v>
      </c>
      <c r="C14" s="453">
        <v>42400</v>
      </c>
      <c r="D14" s="454"/>
      <c r="E14" s="503"/>
      <c r="F14" s="503"/>
      <c r="G14" s="453">
        <v>42400</v>
      </c>
      <c r="H14" s="453"/>
    </row>
    <row r="15" spans="1:8">
      <c r="A15" s="501" t="s">
        <v>699</v>
      </c>
      <c r="B15" s="502" t="s">
        <v>816</v>
      </c>
      <c r="C15" s="453">
        <v>11604.3</v>
      </c>
      <c r="D15" s="454" t="s">
        <v>700</v>
      </c>
      <c r="E15" s="503">
        <v>8428.98</v>
      </c>
      <c r="F15" s="503"/>
      <c r="G15" s="453">
        <v>20033.28</v>
      </c>
      <c r="H15" s="453"/>
    </row>
    <row r="16" spans="1:8">
      <c r="A16" s="501" t="s">
        <v>701</v>
      </c>
      <c r="B16" s="502" t="s">
        <v>817</v>
      </c>
      <c r="C16" s="453">
        <v>1727584</v>
      </c>
      <c r="D16" s="454"/>
      <c r="E16" s="503"/>
      <c r="F16" s="503"/>
      <c r="G16" s="453">
        <v>1727584</v>
      </c>
      <c r="H16" s="453"/>
    </row>
    <row r="17" spans="1:8">
      <c r="A17" s="501" t="s">
        <v>703</v>
      </c>
      <c r="B17" s="502" t="s">
        <v>818</v>
      </c>
      <c r="C17" s="453"/>
      <c r="D17" s="454">
        <v>0</v>
      </c>
      <c r="E17" s="505"/>
      <c r="F17" s="503">
        <v>1887597</v>
      </c>
      <c r="G17" s="453"/>
      <c r="H17" s="453">
        <v>1887597</v>
      </c>
    </row>
    <row r="18" spans="1:8">
      <c r="A18" s="501" t="s">
        <v>704</v>
      </c>
      <c r="B18" s="502" t="s">
        <v>819</v>
      </c>
      <c r="C18" s="453"/>
      <c r="D18" s="454">
        <v>13614.05</v>
      </c>
      <c r="E18" s="503"/>
      <c r="F18" s="503"/>
      <c r="G18" s="453"/>
      <c r="H18" s="453">
        <v>13614.05</v>
      </c>
    </row>
    <row r="19" spans="1:8">
      <c r="A19" s="501" t="s">
        <v>705</v>
      </c>
      <c r="B19" s="502" t="s">
        <v>820</v>
      </c>
      <c r="C19" s="453"/>
      <c r="D19" s="454">
        <v>11624.16</v>
      </c>
      <c r="E19" s="503"/>
      <c r="F19" s="503"/>
      <c r="G19" s="453"/>
      <c r="H19" s="453">
        <v>11624.16</v>
      </c>
    </row>
    <row r="20" spans="1:8">
      <c r="A20" s="501" t="s">
        <v>706</v>
      </c>
      <c r="B20" s="502" t="s">
        <v>1271</v>
      </c>
      <c r="C20" s="453"/>
      <c r="D20" s="454">
        <v>186065</v>
      </c>
      <c r="E20" s="503"/>
      <c r="F20" s="503"/>
      <c r="G20" s="453"/>
      <c r="H20" s="453">
        <v>186065</v>
      </c>
    </row>
    <row r="21" spans="1:8">
      <c r="A21" s="501" t="s">
        <v>708</v>
      </c>
      <c r="B21" s="502" t="s">
        <v>821</v>
      </c>
      <c r="C21" s="453"/>
      <c r="D21" s="454">
        <v>32500</v>
      </c>
      <c r="E21" s="505"/>
      <c r="F21" s="503"/>
      <c r="G21" s="453"/>
      <c r="H21" s="453">
        <v>32500</v>
      </c>
    </row>
    <row r="22" spans="1:8">
      <c r="A22" s="501" t="s">
        <v>823</v>
      </c>
      <c r="B22" s="502" t="s">
        <v>822</v>
      </c>
      <c r="C22" s="453"/>
      <c r="D22" s="454">
        <v>2180</v>
      </c>
      <c r="E22" s="503"/>
      <c r="F22" s="503"/>
      <c r="G22" s="453"/>
      <c r="H22" s="453">
        <v>2180</v>
      </c>
    </row>
    <row r="23" spans="1:8">
      <c r="A23" s="501" t="s">
        <v>707</v>
      </c>
      <c r="B23" s="502" t="s">
        <v>824</v>
      </c>
      <c r="C23" s="453"/>
      <c r="D23" s="454">
        <v>1771716.55</v>
      </c>
      <c r="E23" s="503"/>
      <c r="F23" s="503"/>
      <c r="G23" s="453"/>
      <c r="H23" s="453">
        <v>1771716.55</v>
      </c>
    </row>
    <row r="24" spans="1:8">
      <c r="A24" s="501" t="s">
        <v>1298</v>
      </c>
      <c r="B24" s="502" t="s">
        <v>826</v>
      </c>
      <c r="D24" s="453">
        <v>11995</v>
      </c>
      <c r="E24" s="503"/>
      <c r="F24" s="503"/>
      <c r="G24" s="453"/>
      <c r="H24" s="453">
        <v>11995</v>
      </c>
    </row>
    <row r="25" spans="1:8">
      <c r="A25" s="501" t="s">
        <v>825</v>
      </c>
      <c r="B25" s="502" t="s">
        <v>826</v>
      </c>
      <c r="C25" s="453"/>
      <c r="D25" s="454">
        <v>22560.06</v>
      </c>
      <c r="E25" s="505"/>
      <c r="F25" s="503"/>
      <c r="G25" s="453"/>
      <c r="H25" s="453">
        <v>22560.06</v>
      </c>
    </row>
    <row r="26" spans="1:8">
      <c r="A26" s="501" t="s">
        <v>709</v>
      </c>
      <c r="B26" s="502" t="s">
        <v>827</v>
      </c>
      <c r="C26" s="453"/>
      <c r="D26" s="454">
        <v>10888557.279999999</v>
      </c>
      <c r="E26" s="503"/>
      <c r="F26" s="503">
        <v>5003681.9400000004</v>
      </c>
      <c r="G26" s="453"/>
      <c r="H26" s="453">
        <v>15892239.220000001</v>
      </c>
    </row>
    <row r="27" spans="1:8">
      <c r="A27" s="501" t="s">
        <v>710</v>
      </c>
      <c r="B27" s="502" t="s">
        <v>828</v>
      </c>
      <c r="C27" s="453"/>
      <c r="D27" s="454">
        <v>14700627.85</v>
      </c>
      <c r="E27" s="503"/>
      <c r="F27" s="503">
        <v>883002.7</v>
      </c>
      <c r="G27" s="453"/>
      <c r="H27" s="453">
        <v>15583630.550000001</v>
      </c>
    </row>
    <row r="28" spans="1:8">
      <c r="A28" s="501" t="s">
        <v>711</v>
      </c>
      <c r="B28" s="502" t="s">
        <v>829</v>
      </c>
      <c r="C28" s="453"/>
      <c r="D28" s="454">
        <v>99117.63</v>
      </c>
      <c r="E28" s="503">
        <v>99117.63</v>
      </c>
      <c r="F28" s="503"/>
      <c r="G28" s="453"/>
      <c r="H28" s="453"/>
    </row>
    <row r="29" spans="1:8">
      <c r="A29" s="501" t="s">
        <v>830</v>
      </c>
      <c r="B29" s="502" t="s">
        <v>831</v>
      </c>
      <c r="C29" s="453"/>
      <c r="D29" s="454">
        <v>181432.22</v>
      </c>
      <c r="E29" s="503">
        <v>189861.2</v>
      </c>
      <c r="F29" s="503">
        <v>8428.98</v>
      </c>
      <c r="G29" s="453"/>
      <c r="H29" s="453"/>
    </row>
    <row r="30" spans="1:8">
      <c r="A30" s="501" t="s">
        <v>712</v>
      </c>
      <c r="B30" s="502" t="s">
        <v>832</v>
      </c>
      <c r="C30" s="453"/>
      <c r="D30" s="454">
        <v>19560</v>
      </c>
      <c r="E30" s="503">
        <v>19560</v>
      </c>
      <c r="F30" s="503"/>
      <c r="G30" s="453"/>
      <c r="H30" s="453"/>
    </row>
    <row r="31" spans="1:8">
      <c r="A31" s="501" t="s">
        <v>833</v>
      </c>
      <c r="B31" s="502" t="s">
        <v>834</v>
      </c>
      <c r="C31" s="453"/>
      <c r="D31" s="454">
        <v>1746</v>
      </c>
      <c r="E31" s="503">
        <v>1746</v>
      </c>
      <c r="F31" s="503"/>
      <c r="G31" s="453"/>
      <c r="H31" s="453"/>
    </row>
    <row r="32" spans="1:8">
      <c r="A32" s="501" t="s">
        <v>713</v>
      </c>
      <c r="B32" s="502" t="s">
        <v>835</v>
      </c>
      <c r="C32" s="453"/>
      <c r="D32" s="454">
        <v>20</v>
      </c>
      <c r="E32" s="503">
        <v>20</v>
      </c>
      <c r="F32" s="503"/>
      <c r="G32" s="453"/>
      <c r="H32" s="453"/>
    </row>
    <row r="33" spans="1:8">
      <c r="A33" s="501" t="s">
        <v>714</v>
      </c>
      <c r="B33" s="502" t="s">
        <v>836</v>
      </c>
      <c r="C33" s="453"/>
      <c r="D33" s="454">
        <v>4363</v>
      </c>
      <c r="E33" s="503">
        <v>4363</v>
      </c>
      <c r="F33" s="503"/>
      <c r="G33" s="453"/>
      <c r="H33" s="453"/>
    </row>
    <row r="34" spans="1:8">
      <c r="A34" s="501" t="s">
        <v>715</v>
      </c>
      <c r="B34" s="502" t="s">
        <v>837</v>
      </c>
      <c r="C34" s="453"/>
      <c r="D34" s="454">
        <v>143795</v>
      </c>
      <c r="E34" s="503">
        <v>143795</v>
      </c>
      <c r="F34" s="503"/>
      <c r="G34" s="453"/>
      <c r="H34" s="453"/>
    </row>
    <row r="35" spans="1:8">
      <c r="A35" s="501" t="s">
        <v>716</v>
      </c>
      <c r="B35" s="502" t="s">
        <v>838</v>
      </c>
      <c r="C35" s="453"/>
      <c r="D35" s="454">
        <v>500</v>
      </c>
      <c r="E35" s="503">
        <v>500</v>
      </c>
      <c r="F35" s="503"/>
      <c r="G35" s="453"/>
      <c r="H35" s="453"/>
    </row>
    <row r="36" spans="1:8">
      <c r="A36" s="501" t="s">
        <v>717</v>
      </c>
      <c r="B36" s="502" t="s">
        <v>839</v>
      </c>
      <c r="C36" s="453"/>
      <c r="D36" s="454">
        <v>900</v>
      </c>
      <c r="E36" s="503">
        <v>900</v>
      </c>
      <c r="F36" s="503"/>
      <c r="G36" s="453"/>
      <c r="H36" s="453"/>
    </row>
    <row r="37" spans="1:8">
      <c r="A37" s="501" t="s">
        <v>840</v>
      </c>
      <c r="B37" s="502" t="s">
        <v>841</v>
      </c>
      <c r="C37" s="453"/>
      <c r="D37" s="454">
        <v>19279</v>
      </c>
      <c r="E37" s="503">
        <v>19279</v>
      </c>
      <c r="F37" s="503"/>
      <c r="G37" s="453"/>
      <c r="H37" s="453"/>
    </row>
    <row r="38" spans="1:8">
      <c r="A38" s="501" t="s">
        <v>718</v>
      </c>
      <c r="B38" s="502" t="s">
        <v>842</v>
      </c>
      <c r="C38" s="453"/>
      <c r="D38" s="454">
        <v>39100</v>
      </c>
      <c r="E38" s="503">
        <v>39100</v>
      </c>
      <c r="F38" s="503"/>
      <c r="G38" s="453"/>
      <c r="H38" s="453"/>
    </row>
    <row r="39" spans="1:8">
      <c r="A39" s="501" t="s">
        <v>720</v>
      </c>
      <c r="B39" s="502" t="s">
        <v>843</v>
      </c>
      <c r="C39" s="453"/>
      <c r="D39" s="454">
        <v>215707.94</v>
      </c>
      <c r="E39" s="503">
        <v>215707.94</v>
      </c>
      <c r="F39" s="503"/>
      <c r="G39" s="453"/>
      <c r="H39" s="453"/>
    </row>
    <row r="40" spans="1:8">
      <c r="A40" s="501" t="s">
        <v>721</v>
      </c>
      <c r="B40" s="502" t="s">
        <v>844</v>
      </c>
      <c r="C40" s="453"/>
      <c r="D40" s="454">
        <v>2272</v>
      </c>
      <c r="E40" s="503">
        <v>2272</v>
      </c>
      <c r="F40" s="503"/>
      <c r="G40" s="453"/>
      <c r="H40" s="453"/>
    </row>
    <row r="41" spans="1:8">
      <c r="A41" s="501" t="s">
        <v>722</v>
      </c>
      <c r="B41" s="502" t="s">
        <v>845</v>
      </c>
      <c r="C41" s="453"/>
      <c r="D41" s="454">
        <v>337969.51</v>
      </c>
      <c r="E41" s="503">
        <v>337969.51</v>
      </c>
      <c r="F41" s="503"/>
      <c r="G41" s="453"/>
      <c r="H41" s="453"/>
    </row>
    <row r="42" spans="1:8">
      <c r="A42" s="501" t="s">
        <v>723</v>
      </c>
      <c r="B42" s="502" t="s">
        <v>846</v>
      </c>
      <c r="C42" s="453"/>
      <c r="D42" s="454">
        <v>9417642.8499999996</v>
      </c>
      <c r="E42" s="503">
        <v>9417642.8499999996</v>
      </c>
      <c r="F42" s="503"/>
      <c r="G42" s="453"/>
      <c r="H42" s="453"/>
    </row>
    <row r="43" spans="1:8">
      <c r="A43" s="501" t="s">
        <v>724</v>
      </c>
      <c r="B43" s="502" t="s">
        <v>1272</v>
      </c>
      <c r="C43" s="453"/>
      <c r="D43" s="454">
        <v>2643283.87</v>
      </c>
      <c r="E43" s="503">
        <v>2643283.87</v>
      </c>
      <c r="F43" s="503"/>
      <c r="G43" s="453"/>
      <c r="H43" s="453"/>
    </row>
    <row r="44" spans="1:8">
      <c r="A44" s="501" t="s">
        <v>725</v>
      </c>
      <c r="B44" s="502" t="s">
        <v>847</v>
      </c>
      <c r="C44" s="453"/>
      <c r="D44" s="454">
        <v>111571.2</v>
      </c>
      <c r="E44" s="503">
        <v>111571.2</v>
      </c>
      <c r="F44" s="503"/>
      <c r="G44" s="453"/>
      <c r="H44" s="453"/>
    </row>
    <row r="45" spans="1:8">
      <c r="A45" s="501" t="s">
        <v>726</v>
      </c>
      <c r="B45" s="502" t="s">
        <v>848</v>
      </c>
      <c r="C45" s="453"/>
      <c r="D45" s="454">
        <v>5982087.7199999997</v>
      </c>
      <c r="E45" s="503">
        <v>5982087.7199999997</v>
      </c>
      <c r="F45" s="503"/>
      <c r="G45" s="453"/>
      <c r="H45" s="453"/>
    </row>
    <row r="46" spans="1:8">
      <c r="A46" s="501" t="s">
        <v>727</v>
      </c>
      <c r="B46" s="502" t="s">
        <v>849</v>
      </c>
      <c r="C46" s="453"/>
      <c r="D46" s="454">
        <v>49938.13</v>
      </c>
      <c r="E46" s="503">
        <v>49938.13</v>
      </c>
      <c r="F46" s="503"/>
      <c r="G46" s="453"/>
      <c r="H46" s="453"/>
    </row>
    <row r="47" spans="1:8">
      <c r="A47" s="501" t="s">
        <v>728</v>
      </c>
      <c r="B47" s="502" t="s">
        <v>850</v>
      </c>
      <c r="C47" s="453"/>
      <c r="D47" s="454">
        <v>52710.36</v>
      </c>
      <c r="E47" s="503">
        <v>52710.36</v>
      </c>
      <c r="F47" s="503"/>
      <c r="G47" s="453"/>
      <c r="H47" s="453"/>
    </row>
    <row r="48" spans="1:8">
      <c r="A48" s="501" t="s">
        <v>729</v>
      </c>
      <c r="B48" s="502" t="s">
        <v>851</v>
      </c>
      <c r="C48" s="453"/>
      <c r="D48" s="454">
        <v>922045</v>
      </c>
      <c r="E48" s="503">
        <v>922045</v>
      </c>
      <c r="F48" s="503"/>
      <c r="G48" s="453"/>
      <c r="H48" s="453"/>
    </row>
    <row r="49" spans="1:8">
      <c r="A49" s="501" t="s">
        <v>719</v>
      </c>
      <c r="B49" s="502" t="s">
        <v>852</v>
      </c>
      <c r="C49" s="453"/>
      <c r="D49" s="454">
        <v>36260</v>
      </c>
      <c r="E49" s="503">
        <v>36260</v>
      </c>
      <c r="F49" s="503"/>
      <c r="G49" s="453"/>
      <c r="H49" s="453"/>
    </row>
    <row r="50" spans="1:8">
      <c r="A50" s="501" t="s">
        <v>853</v>
      </c>
      <c r="B50" s="502" t="s">
        <v>854</v>
      </c>
      <c r="C50" s="453"/>
      <c r="D50" s="454">
        <v>23852732</v>
      </c>
      <c r="E50" s="503">
        <v>23872332</v>
      </c>
      <c r="F50" s="503">
        <v>19600</v>
      </c>
      <c r="G50" s="453"/>
      <c r="H50" s="453"/>
    </row>
    <row r="51" spans="1:8">
      <c r="A51" s="501" t="s">
        <v>855</v>
      </c>
      <c r="B51" s="502" t="s">
        <v>856</v>
      </c>
      <c r="C51" s="453"/>
      <c r="D51" s="454">
        <v>29900</v>
      </c>
      <c r="E51" s="503">
        <v>29900</v>
      </c>
      <c r="F51" s="503"/>
      <c r="G51" s="453"/>
      <c r="H51" s="453"/>
    </row>
    <row r="52" spans="1:8">
      <c r="A52" s="501" t="s">
        <v>730</v>
      </c>
      <c r="B52" s="502" t="s">
        <v>857</v>
      </c>
      <c r="C52" s="453">
        <v>14842876.449999999</v>
      </c>
      <c r="D52" s="454"/>
      <c r="E52" s="503"/>
      <c r="F52" s="503">
        <v>14842876.449999999</v>
      </c>
      <c r="G52" s="453"/>
      <c r="H52" s="453"/>
    </row>
    <row r="53" spans="1:8">
      <c r="A53" s="501" t="s">
        <v>731</v>
      </c>
      <c r="B53" s="506">
        <v>52100000</v>
      </c>
      <c r="C53" s="453">
        <v>2836800</v>
      </c>
      <c r="D53" s="454"/>
      <c r="E53" s="503"/>
      <c r="F53" s="503">
        <v>2836800</v>
      </c>
      <c r="G53" s="453"/>
      <c r="H53" s="453"/>
    </row>
    <row r="54" spans="1:8">
      <c r="A54" s="501" t="s">
        <v>732</v>
      </c>
      <c r="B54" s="506">
        <v>52200000</v>
      </c>
      <c r="C54" s="453">
        <v>9986929</v>
      </c>
      <c r="D54" s="454"/>
      <c r="E54" s="503"/>
      <c r="F54" s="503">
        <v>9986929</v>
      </c>
      <c r="G54" s="453"/>
      <c r="H54" s="453"/>
    </row>
    <row r="55" spans="1:8">
      <c r="A55" s="501" t="s">
        <v>733</v>
      </c>
      <c r="B55" s="506">
        <v>53100000</v>
      </c>
      <c r="C55" s="453">
        <v>456400</v>
      </c>
      <c r="D55" s="454"/>
      <c r="E55" s="503"/>
      <c r="F55" s="503">
        <v>456400</v>
      </c>
      <c r="G55" s="453"/>
      <c r="H55" s="453"/>
    </row>
    <row r="56" spans="1:8">
      <c r="A56" s="501" t="s">
        <v>734</v>
      </c>
      <c r="B56" s="506">
        <v>53200000</v>
      </c>
      <c r="C56" s="453">
        <v>2618025.7999999998</v>
      </c>
      <c r="D56" s="454"/>
      <c r="E56" s="503">
        <v>35597</v>
      </c>
      <c r="F56" s="503">
        <v>2653622.7999999998</v>
      </c>
      <c r="G56" s="453"/>
      <c r="H56" s="453"/>
    </row>
    <row r="57" spans="1:8">
      <c r="A57" s="501" t="s">
        <v>735</v>
      </c>
      <c r="B57" s="506">
        <v>53300000</v>
      </c>
      <c r="C57" s="453">
        <v>1389313.52</v>
      </c>
      <c r="D57" s="454"/>
      <c r="E57" s="503"/>
      <c r="F57" s="503">
        <v>1389313.52</v>
      </c>
      <c r="G57" s="453"/>
      <c r="H57" s="453"/>
    </row>
    <row r="58" spans="1:8">
      <c r="A58" s="501" t="s">
        <v>736</v>
      </c>
      <c r="B58" s="506">
        <v>53400000</v>
      </c>
      <c r="C58" s="453">
        <v>369736</v>
      </c>
      <c r="D58" s="454"/>
      <c r="E58" s="503"/>
      <c r="F58" s="503">
        <v>369736</v>
      </c>
      <c r="G58" s="453"/>
      <c r="H58" s="453"/>
    </row>
    <row r="59" spans="1:8">
      <c r="A59" s="501" t="s">
        <v>737</v>
      </c>
      <c r="B59" s="506">
        <v>54100000</v>
      </c>
      <c r="C59" s="453">
        <v>227000</v>
      </c>
      <c r="D59" s="454"/>
      <c r="E59" s="503"/>
      <c r="F59" s="503">
        <v>227000</v>
      </c>
      <c r="G59" s="453"/>
      <c r="H59" s="453"/>
    </row>
    <row r="60" spans="1:8">
      <c r="A60" s="501" t="s">
        <v>738</v>
      </c>
      <c r="B60" s="506">
        <v>54200000</v>
      </c>
      <c r="C60" s="453">
        <v>1859600</v>
      </c>
      <c r="D60" s="454"/>
      <c r="E60" s="503">
        <v>1852000</v>
      </c>
      <c r="F60" s="503">
        <v>3711600</v>
      </c>
      <c r="G60" s="453"/>
      <c r="H60" s="453"/>
    </row>
    <row r="61" spans="1:8">
      <c r="A61" s="507" t="s">
        <v>739</v>
      </c>
      <c r="B61" s="506">
        <v>56100000</v>
      </c>
      <c r="C61" s="453">
        <v>1831000</v>
      </c>
      <c r="D61" s="454"/>
      <c r="E61" s="508"/>
      <c r="F61" s="508">
        <v>1831000</v>
      </c>
      <c r="G61" s="509"/>
      <c r="H61" s="509"/>
    </row>
    <row r="62" spans="1:8" ht="21" thickBot="1">
      <c r="A62" s="510"/>
      <c r="B62" s="510"/>
      <c r="C62" s="511">
        <f>SUM(C6:C61)</f>
        <v>71805373.379999995</v>
      </c>
      <c r="D62" s="511">
        <f>SUM(D9:D61)</f>
        <v>71805373.379999995</v>
      </c>
      <c r="E62" s="512">
        <f>SUM(E13:E61)</f>
        <v>46107588.390000001</v>
      </c>
      <c r="F62" s="512">
        <f>SUM(F13:F61)</f>
        <v>46107588.390000001</v>
      </c>
      <c r="G62" s="511">
        <f>SUM(G6:G61)</f>
        <v>35415721.590000004</v>
      </c>
      <c r="H62" s="511">
        <f>SUM(H6:H61)</f>
        <v>35415721.590000004</v>
      </c>
    </row>
    <row r="63" spans="1:8" ht="21" thickTop="1">
      <c r="C63" s="513"/>
      <c r="D63" s="513">
        <f>C62-D62</f>
        <v>0</v>
      </c>
    </row>
    <row r="64" spans="1:8">
      <c r="A64" s="459" t="s">
        <v>1294</v>
      </c>
      <c r="D64" s="455"/>
    </row>
    <row r="65" spans="1:4">
      <c r="A65" s="459" t="s">
        <v>1299</v>
      </c>
      <c r="D65" s="455"/>
    </row>
    <row r="66" spans="1:4">
      <c r="C66" s="513"/>
      <c r="D66" s="455"/>
    </row>
    <row r="67" spans="1:4">
      <c r="D67" s="455"/>
    </row>
  </sheetData>
  <mergeCells count="8">
    <mergeCell ref="A1:H1"/>
    <mergeCell ref="A2:H2"/>
    <mergeCell ref="A3:H3"/>
    <mergeCell ref="E4:F4"/>
    <mergeCell ref="G4:H4"/>
    <mergeCell ref="A4:A5"/>
    <mergeCell ref="B4:B5"/>
    <mergeCell ref="C4:D4"/>
  </mergeCells>
  <pageMargins left="0.19685039370078741" right="0.19685039370078741" top="0.39370078740157483" bottom="0.19685039370078741" header="0.31496062992125984" footer="0.31496062992125984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E18" sqref="E18"/>
    </sheetView>
  </sheetViews>
  <sheetFormatPr defaultRowHeight="21"/>
  <cols>
    <col min="1" max="4" width="9" style="293"/>
    <col min="5" max="5" width="14.875" style="293" customWidth="1"/>
    <col min="6" max="6" width="15.625" style="321" customWidth="1"/>
    <col min="7" max="7" width="3.125" style="321" customWidth="1"/>
    <col min="8" max="8" width="15.625" style="321" customWidth="1"/>
    <col min="9" max="16384" width="9" style="293"/>
  </cols>
  <sheetData>
    <row r="1" spans="1:8" s="15" customFormat="1">
      <c r="A1" s="741" t="str">
        <f>งบแสดงฐานะ!A1</f>
        <v>องค์การบริหารส่วนตำบลบ้านกอก  อำเภอจัตุรัส  จังหวัดชัยภูมิ</v>
      </c>
      <c r="B1" s="741"/>
      <c r="C1" s="741"/>
      <c r="D1" s="741"/>
      <c r="E1" s="741"/>
      <c r="F1" s="741"/>
      <c r="G1" s="741"/>
      <c r="H1" s="741"/>
    </row>
    <row r="2" spans="1:8" s="15" customFormat="1">
      <c r="A2" s="741" t="s">
        <v>23</v>
      </c>
      <c r="B2" s="741"/>
      <c r="C2" s="741"/>
      <c r="D2" s="741"/>
      <c r="E2" s="741"/>
      <c r="F2" s="741"/>
      <c r="G2" s="741"/>
      <c r="H2" s="741"/>
    </row>
    <row r="3" spans="1:8" s="15" customFormat="1">
      <c r="A3" s="742" t="s">
        <v>917</v>
      </c>
      <c r="B3" s="742"/>
      <c r="C3" s="742"/>
      <c r="D3" s="742"/>
      <c r="E3" s="742"/>
      <c r="F3" s="742"/>
      <c r="G3" s="742"/>
      <c r="H3" s="742"/>
    </row>
    <row r="4" spans="1:8" s="15" customFormat="1">
      <c r="A4" s="460"/>
      <c r="B4" s="460"/>
      <c r="C4" s="460"/>
      <c r="D4" s="460"/>
      <c r="E4" s="460"/>
      <c r="F4" s="460"/>
      <c r="G4" s="460"/>
      <c r="H4" s="460"/>
    </row>
    <row r="5" spans="1:8" s="15" customFormat="1">
      <c r="A5" s="16" t="s">
        <v>1095</v>
      </c>
      <c r="D5" s="14"/>
      <c r="E5" s="17"/>
      <c r="F5" s="20"/>
      <c r="G5" s="20"/>
      <c r="H5" s="14"/>
    </row>
    <row r="6" spans="1:8" s="15" customFormat="1">
      <c r="A6" s="16"/>
      <c r="D6" s="14"/>
      <c r="E6" s="17"/>
      <c r="F6" s="17" t="s">
        <v>919</v>
      </c>
      <c r="G6" s="17"/>
      <c r="H6" s="21" t="s">
        <v>918</v>
      </c>
    </row>
    <row r="7" spans="1:8">
      <c r="B7" s="293" t="s">
        <v>1301</v>
      </c>
      <c r="F7" s="321">
        <v>0</v>
      </c>
      <c r="H7" s="321">
        <v>13518.75</v>
      </c>
    </row>
    <row r="8" spans="1:8" ht="21.75" thickBot="1">
      <c r="B8" s="545" t="s">
        <v>1302</v>
      </c>
      <c r="F8" s="546">
        <f>SUM(F7:F7)</f>
        <v>0</v>
      </c>
      <c r="G8" s="547"/>
      <c r="H8" s="546">
        <f>SUM(H7:H7)</f>
        <v>13518.75</v>
      </c>
    </row>
    <row r="9" spans="1:8" ht="21.75" thickTop="1"/>
  </sheetData>
  <mergeCells count="3">
    <mergeCell ref="A1:H1"/>
    <mergeCell ref="A2:H2"/>
    <mergeCell ref="A3:H3"/>
  </mergeCells>
  <pageMargins left="0.65" right="0.21" top="0.74803149606299213" bottom="0.74803149606299213" header="0.31496062992125984" footer="0.31496062992125984"/>
  <pageSetup paperSize="9" orientation="portrait" verticalDpi="0" copies="2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G66"/>
  <sheetViews>
    <sheetView workbookViewId="0">
      <selection activeCell="C24" sqref="C24"/>
    </sheetView>
  </sheetViews>
  <sheetFormatPr defaultRowHeight="18"/>
  <cols>
    <col min="1" max="1" width="9.5" style="45" customWidth="1"/>
    <col min="2" max="2" width="13.625" style="45" customWidth="1"/>
    <col min="3" max="3" width="19" style="45" customWidth="1"/>
    <col min="4" max="4" width="17.875" style="45" customWidth="1"/>
    <col min="5" max="5" width="21.375" style="45" customWidth="1"/>
    <col min="6" max="6" width="48.875" style="45" customWidth="1"/>
    <col min="7" max="7" width="12.875" style="45" customWidth="1"/>
    <col min="8" max="16384" width="9" style="45"/>
  </cols>
  <sheetData>
    <row r="3" spans="1:7" ht="24.75">
      <c r="A3" s="722" t="s">
        <v>196</v>
      </c>
      <c r="B3" s="722"/>
      <c r="C3" s="722"/>
      <c r="D3" s="722"/>
      <c r="E3" s="722"/>
      <c r="F3" s="722"/>
      <c r="G3" s="722"/>
    </row>
    <row r="4" spans="1:7" ht="24.75">
      <c r="A4" s="722" t="s">
        <v>23</v>
      </c>
      <c r="B4" s="722"/>
      <c r="C4" s="722"/>
      <c r="D4" s="722"/>
      <c r="E4" s="722"/>
      <c r="F4" s="722"/>
      <c r="G4" s="722"/>
    </row>
    <row r="5" spans="1:7" ht="24.75">
      <c r="A5" s="722" t="s">
        <v>916</v>
      </c>
      <c r="B5" s="722"/>
      <c r="C5" s="722"/>
      <c r="D5" s="722"/>
      <c r="E5" s="722"/>
      <c r="F5" s="722"/>
      <c r="G5" s="722"/>
    </row>
    <row r="6" spans="1:7" ht="23.25">
      <c r="A6" s="548" t="s">
        <v>1096</v>
      </c>
      <c r="B6" s="548"/>
      <c r="C6" s="549"/>
      <c r="D6" s="549"/>
      <c r="E6" s="549"/>
      <c r="F6" s="549"/>
      <c r="G6" s="550"/>
    </row>
    <row r="7" spans="1:7" ht="23.25">
      <c r="A7" s="548" t="s">
        <v>913</v>
      </c>
      <c r="B7" s="549"/>
      <c r="C7" s="549"/>
      <c r="D7" s="549"/>
      <c r="E7" s="549"/>
      <c r="F7" s="549"/>
      <c r="G7" s="550"/>
    </row>
    <row r="8" spans="1:7" ht="22.5">
      <c r="A8" s="551" t="s">
        <v>39</v>
      </c>
      <c r="B8" s="551" t="s">
        <v>48</v>
      </c>
      <c r="C8" s="551" t="s">
        <v>49</v>
      </c>
      <c r="D8" s="551" t="s">
        <v>50</v>
      </c>
      <c r="E8" s="551" t="s">
        <v>51</v>
      </c>
      <c r="F8" s="551" t="s">
        <v>41</v>
      </c>
      <c r="G8" s="552" t="s">
        <v>32</v>
      </c>
    </row>
    <row r="9" spans="1:7" ht="22.5">
      <c r="A9" s="311" t="s">
        <v>197</v>
      </c>
      <c r="B9" s="311" t="s">
        <v>97</v>
      </c>
      <c r="C9" s="311" t="s">
        <v>97</v>
      </c>
      <c r="D9" s="311" t="s">
        <v>72</v>
      </c>
      <c r="E9" s="311" t="s">
        <v>201</v>
      </c>
      <c r="F9" s="311" t="s">
        <v>202</v>
      </c>
      <c r="G9" s="553">
        <v>9000</v>
      </c>
    </row>
    <row r="10" spans="1:7" ht="22.5">
      <c r="A10" s="311" t="s">
        <v>197</v>
      </c>
      <c r="B10" s="311" t="s">
        <v>97</v>
      </c>
      <c r="C10" s="311" t="s">
        <v>97</v>
      </c>
      <c r="D10" s="311" t="s">
        <v>72</v>
      </c>
      <c r="E10" s="311" t="s">
        <v>201</v>
      </c>
      <c r="F10" s="311" t="s">
        <v>203</v>
      </c>
      <c r="G10" s="553">
        <v>9000</v>
      </c>
    </row>
    <row r="11" spans="1:7" ht="22.5">
      <c r="A11" s="311" t="s">
        <v>197</v>
      </c>
      <c r="B11" s="311" t="s">
        <v>97</v>
      </c>
      <c r="C11" s="311" t="s">
        <v>97</v>
      </c>
      <c r="D11" s="311" t="s">
        <v>72</v>
      </c>
      <c r="E11" s="311" t="s">
        <v>201</v>
      </c>
      <c r="F11" s="311" t="s">
        <v>920</v>
      </c>
      <c r="G11" s="553">
        <v>4597</v>
      </c>
    </row>
    <row r="12" spans="1:7" ht="22.5">
      <c r="A12" s="311" t="s">
        <v>197</v>
      </c>
      <c r="B12" s="311" t="s">
        <v>100</v>
      </c>
      <c r="C12" s="311" t="s">
        <v>204</v>
      </c>
      <c r="D12" s="311" t="s">
        <v>72</v>
      </c>
      <c r="E12" s="311" t="s">
        <v>201</v>
      </c>
      <c r="F12" s="311" t="s">
        <v>205</v>
      </c>
      <c r="G12" s="553">
        <v>13000</v>
      </c>
    </row>
    <row r="13" spans="1:7" ht="22.5">
      <c r="A13" s="311"/>
      <c r="B13" s="311"/>
      <c r="C13" s="311" t="s">
        <v>206</v>
      </c>
      <c r="D13" s="311"/>
      <c r="E13" s="311"/>
      <c r="F13" s="311"/>
      <c r="G13" s="553"/>
    </row>
    <row r="14" spans="1:7" ht="22.5">
      <c r="A14" s="311" t="s">
        <v>197</v>
      </c>
      <c r="B14" s="311" t="s">
        <v>102</v>
      </c>
      <c r="C14" s="311" t="s">
        <v>777</v>
      </c>
      <c r="D14" s="311" t="s">
        <v>224</v>
      </c>
      <c r="E14" s="311" t="s">
        <v>209</v>
      </c>
      <c r="F14" s="311" t="s">
        <v>921</v>
      </c>
      <c r="G14" s="553">
        <v>200000</v>
      </c>
    </row>
    <row r="15" spans="1:7" ht="22.5">
      <c r="A15" s="311" t="s">
        <v>197</v>
      </c>
      <c r="B15" s="311" t="s">
        <v>102</v>
      </c>
      <c r="C15" s="311" t="s">
        <v>777</v>
      </c>
      <c r="D15" s="311" t="s">
        <v>224</v>
      </c>
      <c r="E15" s="311" t="s">
        <v>209</v>
      </c>
      <c r="F15" s="311" t="s">
        <v>922</v>
      </c>
      <c r="G15" s="553">
        <v>398000</v>
      </c>
    </row>
    <row r="16" spans="1:7" ht="22.5">
      <c r="A16" s="311" t="s">
        <v>197</v>
      </c>
      <c r="B16" s="311" t="s">
        <v>102</v>
      </c>
      <c r="C16" s="311" t="s">
        <v>777</v>
      </c>
      <c r="D16" s="311" t="s">
        <v>224</v>
      </c>
      <c r="E16" s="311" t="s">
        <v>209</v>
      </c>
      <c r="F16" s="311" t="s">
        <v>923</v>
      </c>
      <c r="G16" s="553">
        <v>499000</v>
      </c>
    </row>
    <row r="17" spans="1:7" ht="22.5">
      <c r="A17" s="311" t="s">
        <v>197</v>
      </c>
      <c r="B17" s="311" t="s">
        <v>102</v>
      </c>
      <c r="C17" s="311" t="s">
        <v>777</v>
      </c>
      <c r="D17" s="311" t="s">
        <v>224</v>
      </c>
      <c r="E17" s="311" t="s">
        <v>209</v>
      </c>
      <c r="F17" s="311" t="s">
        <v>924</v>
      </c>
      <c r="G17" s="553">
        <v>100000</v>
      </c>
    </row>
    <row r="18" spans="1:7" ht="22.5">
      <c r="A18" s="311" t="s">
        <v>197</v>
      </c>
      <c r="B18" s="311" t="s">
        <v>105</v>
      </c>
      <c r="C18" s="311" t="s">
        <v>925</v>
      </c>
      <c r="D18" s="311" t="s">
        <v>224</v>
      </c>
      <c r="E18" s="311" t="s">
        <v>209</v>
      </c>
      <c r="F18" s="311" t="s">
        <v>926</v>
      </c>
      <c r="G18" s="553">
        <v>655000</v>
      </c>
    </row>
    <row r="19" spans="1:7" ht="22.5">
      <c r="A19" s="311"/>
      <c r="B19" s="311"/>
      <c r="C19" s="311"/>
      <c r="D19" s="311"/>
      <c r="E19" s="311"/>
      <c r="F19" s="311"/>
      <c r="G19" s="553"/>
    </row>
    <row r="20" spans="1:7" ht="23.25" thickBot="1">
      <c r="A20" s="754" t="s">
        <v>35</v>
      </c>
      <c r="B20" s="754"/>
      <c r="C20" s="754"/>
      <c r="D20" s="754"/>
      <c r="E20" s="754"/>
      <c r="F20" s="754"/>
      <c r="G20" s="554">
        <f>SUM(G9:G19)</f>
        <v>1887597</v>
      </c>
    </row>
    <row r="21" spans="1:7" ht="24" thickTop="1">
      <c r="A21" s="549"/>
      <c r="B21" s="549"/>
      <c r="C21" s="549"/>
      <c r="D21" s="549"/>
      <c r="E21" s="549"/>
      <c r="F21" s="549"/>
      <c r="G21" s="550"/>
    </row>
    <row r="22" spans="1:7" ht="23.25">
      <c r="A22" s="549"/>
      <c r="B22" s="549"/>
      <c r="C22" s="549"/>
      <c r="D22" s="549"/>
      <c r="E22" s="549"/>
      <c r="F22" s="549"/>
      <c r="G22" s="550"/>
    </row>
    <row r="23" spans="1:7" ht="23.25">
      <c r="A23" s="549"/>
      <c r="B23" s="549"/>
      <c r="C23" s="549"/>
      <c r="D23" s="549"/>
      <c r="E23" s="549"/>
      <c r="F23" s="549"/>
      <c r="G23" s="550"/>
    </row>
    <row r="24" spans="1:7" ht="23.25">
      <c r="A24" s="549"/>
      <c r="B24" s="549"/>
      <c r="C24" s="549"/>
      <c r="D24" s="549"/>
      <c r="E24" s="549"/>
      <c r="F24" s="549"/>
      <c r="G24" s="550"/>
    </row>
    <row r="25" spans="1:7" ht="23.25">
      <c r="A25" s="549"/>
      <c r="B25" s="549"/>
      <c r="C25" s="549"/>
      <c r="D25" s="549"/>
      <c r="E25" s="549"/>
      <c r="F25" s="549"/>
      <c r="G25" s="550"/>
    </row>
    <row r="26" spans="1:7" ht="23.25">
      <c r="A26" s="549"/>
      <c r="B26" s="549"/>
      <c r="C26" s="549"/>
      <c r="D26" s="549"/>
      <c r="E26" s="549"/>
      <c r="F26" s="549"/>
      <c r="G26" s="550"/>
    </row>
    <row r="27" spans="1:7" ht="23.25">
      <c r="A27" s="548" t="s">
        <v>1096</v>
      </c>
      <c r="B27" s="548"/>
      <c r="C27" s="549"/>
      <c r="D27" s="549"/>
      <c r="E27" s="549"/>
      <c r="F27" s="549"/>
      <c r="G27" s="550"/>
    </row>
    <row r="28" spans="1:7" ht="23.25">
      <c r="A28" s="548" t="s">
        <v>142</v>
      </c>
      <c r="B28" s="549"/>
      <c r="C28" s="549"/>
      <c r="D28" s="549"/>
      <c r="E28" s="549"/>
      <c r="F28" s="549"/>
      <c r="G28" s="550"/>
    </row>
    <row r="29" spans="1:7" ht="22.5">
      <c r="A29" s="551" t="s">
        <v>39</v>
      </c>
      <c r="B29" s="551" t="s">
        <v>48</v>
      </c>
      <c r="C29" s="551" t="s">
        <v>49</v>
      </c>
      <c r="D29" s="551" t="s">
        <v>50</v>
      </c>
      <c r="E29" s="551" t="s">
        <v>51</v>
      </c>
      <c r="F29" s="551" t="s">
        <v>41</v>
      </c>
      <c r="G29" s="552" t="s">
        <v>32</v>
      </c>
    </row>
    <row r="30" spans="1:7" ht="22.5">
      <c r="A30" s="555" t="s">
        <v>197</v>
      </c>
      <c r="B30" s="556" t="s">
        <v>67</v>
      </c>
      <c r="C30" s="556" t="s">
        <v>67</v>
      </c>
      <c r="D30" s="555" t="s">
        <v>67</v>
      </c>
      <c r="E30" s="555" t="s">
        <v>198</v>
      </c>
      <c r="F30" s="556" t="s">
        <v>199</v>
      </c>
      <c r="G30" s="557">
        <v>82500</v>
      </c>
    </row>
    <row r="31" spans="1:7" ht="22.5">
      <c r="A31" s="558" t="s">
        <v>197</v>
      </c>
      <c r="B31" s="311" t="s">
        <v>67</v>
      </c>
      <c r="C31" s="311" t="s">
        <v>67</v>
      </c>
      <c r="D31" s="558" t="s">
        <v>67</v>
      </c>
      <c r="E31" s="558" t="s">
        <v>198</v>
      </c>
      <c r="F31" s="311" t="s">
        <v>200</v>
      </c>
      <c r="G31" s="553">
        <v>19700</v>
      </c>
    </row>
    <row r="32" spans="1:7" ht="22.5">
      <c r="A32" s="311" t="s">
        <v>197</v>
      </c>
      <c r="B32" s="311" t="s">
        <v>97</v>
      </c>
      <c r="C32" s="311" t="s">
        <v>97</v>
      </c>
      <c r="D32" s="311" t="s">
        <v>72</v>
      </c>
      <c r="E32" s="311" t="s">
        <v>201</v>
      </c>
      <c r="F32" s="311" t="s">
        <v>202</v>
      </c>
      <c r="G32" s="553">
        <v>9000</v>
      </c>
    </row>
    <row r="33" spans="1:7" ht="22.5">
      <c r="A33" s="311" t="s">
        <v>197</v>
      </c>
      <c r="B33" s="311" t="s">
        <v>97</v>
      </c>
      <c r="C33" s="311" t="s">
        <v>97</v>
      </c>
      <c r="D33" s="311" t="s">
        <v>72</v>
      </c>
      <c r="E33" s="311" t="s">
        <v>201</v>
      </c>
      <c r="F33" s="311" t="s">
        <v>203</v>
      </c>
      <c r="G33" s="553">
        <v>9000</v>
      </c>
    </row>
    <row r="34" spans="1:7" ht="22.5">
      <c r="A34" s="311" t="s">
        <v>197</v>
      </c>
      <c r="B34" s="311" t="s">
        <v>100</v>
      </c>
      <c r="C34" s="311" t="s">
        <v>204</v>
      </c>
      <c r="D34" s="311" t="s">
        <v>72</v>
      </c>
      <c r="E34" s="311" t="s">
        <v>201</v>
      </c>
      <c r="F34" s="311" t="s">
        <v>205</v>
      </c>
      <c r="G34" s="553">
        <v>13000</v>
      </c>
    </row>
    <row r="35" spans="1:7" ht="22.5">
      <c r="A35" s="311"/>
      <c r="B35" s="311"/>
      <c r="C35" s="311" t="s">
        <v>206</v>
      </c>
      <c r="D35" s="311"/>
      <c r="E35" s="311"/>
      <c r="F35" s="311"/>
      <c r="G35" s="553"/>
    </row>
    <row r="36" spans="1:7" ht="22.5">
      <c r="A36" s="311" t="s">
        <v>197</v>
      </c>
      <c r="B36" s="311" t="s">
        <v>97</v>
      </c>
      <c r="C36" s="311" t="s">
        <v>97</v>
      </c>
      <c r="D36" s="311" t="s">
        <v>72</v>
      </c>
      <c r="E36" s="311" t="s">
        <v>201</v>
      </c>
      <c r="F36" s="311" t="s">
        <v>208</v>
      </c>
      <c r="G36" s="553">
        <v>300</v>
      </c>
    </row>
    <row r="37" spans="1:7" ht="22.5">
      <c r="A37" s="311" t="s">
        <v>197</v>
      </c>
      <c r="B37" s="311" t="s">
        <v>97</v>
      </c>
      <c r="C37" s="311" t="s">
        <v>97</v>
      </c>
      <c r="D37" s="311" t="s">
        <v>72</v>
      </c>
      <c r="E37" s="311" t="s">
        <v>201</v>
      </c>
      <c r="F37" s="311" t="s">
        <v>207</v>
      </c>
      <c r="G37" s="553">
        <v>5100</v>
      </c>
    </row>
    <row r="38" spans="1:7" ht="22.5">
      <c r="A38" s="311" t="s">
        <v>197</v>
      </c>
      <c r="B38" s="311" t="s">
        <v>102</v>
      </c>
      <c r="C38" s="311" t="s">
        <v>777</v>
      </c>
      <c r="D38" s="311" t="s">
        <v>224</v>
      </c>
      <c r="E38" s="311" t="s">
        <v>209</v>
      </c>
      <c r="F38" s="311" t="s">
        <v>210</v>
      </c>
      <c r="G38" s="553">
        <v>100000</v>
      </c>
    </row>
    <row r="39" spans="1:7" ht="22.5">
      <c r="A39" s="311" t="s">
        <v>197</v>
      </c>
      <c r="B39" s="311" t="s">
        <v>102</v>
      </c>
      <c r="C39" s="311" t="s">
        <v>777</v>
      </c>
      <c r="D39" s="311" t="s">
        <v>224</v>
      </c>
      <c r="E39" s="311" t="s">
        <v>209</v>
      </c>
      <c r="F39" s="311" t="s">
        <v>211</v>
      </c>
      <c r="G39" s="553">
        <v>89300</v>
      </c>
    </row>
    <row r="40" spans="1:7" ht="22.5">
      <c r="A40" s="311" t="s">
        <v>197</v>
      </c>
      <c r="B40" s="311" t="s">
        <v>102</v>
      </c>
      <c r="C40" s="311" t="s">
        <v>777</v>
      </c>
      <c r="D40" s="311" t="s">
        <v>224</v>
      </c>
      <c r="E40" s="311" t="s">
        <v>209</v>
      </c>
      <c r="F40" s="311" t="s">
        <v>212</v>
      </c>
      <c r="G40" s="553">
        <v>98700</v>
      </c>
    </row>
    <row r="41" spans="1:7" ht="22.5">
      <c r="A41" s="311" t="s">
        <v>197</v>
      </c>
      <c r="B41" s="311" t="s">
        <v>102</v>
      </c>
      <c r="C41" s="311" t="s">
        <v>777</v>
      </c>
      <c r="D41" s="311" t="s">
        <v>224</v>
      </c>
      <c r="E41" s="311" t="s">
        <v>209</v>
      </c>
      <c r="F41" s="311" t="s">
        <v>213</v>
      </c>
      <c r="G41" s="553">
        <v>95600</v>
      </c>
    </row>
    <row r="42" spans="1:7" ht="22.5">
      <c r="A42" s="311" t="s">
        <v>197</v>
      </c>
      <c r="B42" s="311" t="s">
        <v>102</v>
      </c>
      <c r="C42" s="311" t="s">
        <v>777</v>
      </c>
      <c r="D42" s="311" t="s">
        <v>224</v>
      </c>
      <c r="E42" s="311" t="s">
        <v>209</v>
      </c>
      <c r="F42" s="311" t="s">
        <v>214</v>
      </c>
      <c r="G42" s="553">
        <v>100000</v>
      </c>
    </row>
    <row r="43" spans="1:7" ht="22.5">
      <c r="A43" s="311" t="s">
        <v>197</v>
      </c>
      <c r="B43" s="311" t="s">
        <v>102</v>
      </c>
      <c r="C43" s="311" t="s">
        <v>777</v>
      </c>
      <c r="D43" s="311" t="s">
        <v>224</v>
      </c>
      <c r="E43" s="311" t="s">
        <v>209</v>
      </c>
      <c r="F43" s="559" t="s">
        <v>215</v>
      </c>
      <c r="G43" s="553">
        <v>100000</v>
      </c>
    </row>
    <row r="44" spans="1:7" ht="22.5">
      <c r="A44" s="311" t="s">
        <v>197</v>
      </c>
      <c r="B44" s="311" t="s">
        <v>102</v>
      </c>
      <c r="C44" s="311" t="s">
        <v>777</v>
      </c>
      <c r="D44" s="311" t="s">
        <v>224</v>
      </c>
      <c r="E44" s="311" t="s">
        <v>209</v>
      </c>
      <c r="F44" s="311" t="s">
        <v>216</v>
      </c>
      <c r="G44" s="553">
        <v>96600</v>
      </c>
    </row>
    <row r="45" spans="1:7" ht="22.5">
      <c r="A45" s="313" t="s">
        <v>197</v>
      </c>
      <c r="B45" s="313" t="s">
        <v>102</v>
      </c>
      <c r="C45" s="313" t="s">
        <v>777</v>
      </c>
      <c r="D45" s="313" t="s">
        <v>224</v>
      </c>
      <c r="E45" s="313" t="s">
        <v>209</v>
      </c>
      <c r="F45" s="560" t="s">
        <v>217</v>
      </c>
      <c r="G45" s="561">
        <v>100000</v>
      </c>
    </row>
    <row r="46" spans="1:7" ht="22.5">
      <c r="A46" s="312" t="s">
        <v>197</v>
      </c>
      <c r="B46" s="312" t="s">
        <v>102</v>
      </c>
      <c r="C46" s="312" t="s">
        <v>777</v>
      </c>
      <c r="D46" s="312" t="s">
        <v>224</v>
      </c>
      <c r="E46" s="312" t="s">
        <v>209</v>
      </c>
      <c r="F46" s="312" t="s">
        <v>218</v>
      </c>
      <c r="G46" s="562">
        <v>100000</v>
      </c>
    </row>
    <row r="47" spans="1:7" ht="22.5">
      <c r="A47" s="311" t="s">
        <v>197</v>
      </c>
      <c r="B47" s="311" t="s">
        <v>102</v>
      </c>
      <c r="C47" s="311" t="s">
        <v>777</v>
      </c>
      <c r="D47" s="311" t="s">
        <v>224</v>
      </c>
      <c r="E47" s="311" t="s">
        <v>209</v>
      </c>
      <c r="F47" s="311" t="s">
        <v>219</v>
      </c>
      <c r="G47" s="553">
        <v>100000</v>
      </c>
    </row>
    <row r="48" spans="1:7" ht="22.5">
      <c r="A48" s="311" t="s">
        <v>197</v>
      </c>
      <c r="B48" s="311" t="s">
        <v>102</v>
      </c>
      <c r="C48" s="311" t="s">
        <v>777</v>
      </c>
      <c r="D48" s="311" t="s">
        <v>224</v>
      </c>
      <c r="E48" s="311" t="s">
        <v>209</v>
      </c>
      <c r="F48" s="563" t="s">
        <v>220</v>
      </c>
      <c r="G48" s="553">
        <v>99700</v>
      </c>
    </row>
    <row r="49" spans="1:7" ht="22.5">
      <c r="A49" s="311" t="s">
        <v>197</v>
      </c>
      <c r="B49" s="311" t="s">
        <v>102</v>
      </c>
      <c r="C49" s="311" t="s">
        <v>777</v>
      </c>
      <c r="D49" s="311" t="s">
        <v>224</v>
      </c>
      <c r="E49" s="311" t="s">
        <v>209</v>
      </c>
      <c r="F49" s="311" t="s">
        <v>221</v>
      </c>
      <c r="G49" s="553">
        <v>97800</v>
      </c>
    </row>
    <row r="50" spans="1:7" ht="22.5">
      <c r="A50" s="311" t="s">
        <v>197</v>
      </c>
      <c r="B50" s="311" t="s">
        <v>102</v>
      </c>
      <c r="C50" s="311" t="s">
        <v>777</v>
      </c>
      <c r="D50" s="311" t="s">
        <v>224</v>
      </c>
      <c r="E50" s="311" t="s">
        <v>209</v>
      </c>
      <c r="F50" s="311" t="s">
        <v>222</v>
      </c>
      <c r="G50" s="553">
        <v>96000</v>
      </c>
    </row>
    <row r="51" spans="1:7" ht="22.5">
      <c r="A51" s="311" t="s">
        <v>197</v>
      </c>
      <c r="B51" s="311" t="s">
        <v>97</v>
      </c>
      <c r="C51" s="311" t="s">
        <v>97</v>
      </c>
      <c r="D51" s="564" t="s">
        <v>79</v>
      </c>
      <c r="E51" s="311" t="s">
        <v>201</v>
      </c>
      <c r="F51" s="311" t="s">
        <v>223</v>
      </c>
      <c r="G51" s="553">
        <v>27000</v>
      </c>
    </row>
    <row r="52" spans="1:7" ht="23.25" thickBot="1">
      <c r="A52" s="754" t="s">
        <v>35</v>
      </c>
      <c r="B52" s="754"/>
      <c r="C52" s="754"/>
      <c r="D52" s="754"/>
      <c r="E52" s="754"/>
      <c r="F52" s="754"/>
      <c r="G52" s="554">
        <f>SUM(G30:G51)</f>
        <v>1439300</v>
      </c>
    </row>
    <row r="53" spans="1:7" ht="24" thickTop="1">
      <c r="A53" s="549"/>
      <c r="B53" s="549"/>
      <c r="C53" s="549"/>
      <c r="D53" s="549"/>
      <c r="E53" s="549"/>
      <c r="F53" s="549"/>
      <c r="G53" s="550"/>
    </row>
    <row r="54" spans="1:7" ht="23.25">
      <c r="A54" s="549"/>
      <c r="B54" s="549"/>
      <c r="C54" s="549"/>
      <c r="D54" s="549"/>
      <c r="E54" s="549"/>
      <c r="F54" s="549"/>
      <c r="G54" s="550"/>
    </row>
    <row r="55" spans="1:7" ht="23.25">
      <c r="A55" s="549"/>
      <c r="B55" s="549"/>
      <c r="C55" s="549"/>
      <c r="D55" s="549"/>
      <c r="E55" s="549"/>
      <c r="F55" s="549"/>
      <c r="G55" s="550"/>
    </row>
    <row r="56" spans="1:7" ht="23.25">
      <c r="A56" s="549"/>
      <c r="B56" s="549"/>
      <c r="C56" s="549"/>
      <c r="D56" s="549"/>
      <c r="E56" s="549"/>
      <c r="F56" s="549"/>
      <c r="G56" s="550"/>
    </row>
    <row r="57" spans="1:7" ht="23.25">
      <c r="A57" s="549"/>
      <c r="B57" s="549"/>
      <c r="C57" s="549"/>
      <c r="D57" s="549"/>
      <c r="E57" s="549"/>
      <c r="F57" s="549"/>
      <c r="G57" s="550"/>
    </row>
    <row r="58" spans="1:7" ht="23.25">
      <c r="A58" s="549"/>
      <c r="B58" s="549"/>
      <c r="C58" s="549"/>
      <c r="D58" s="549"/>
      <c r="E58" s="549"/>
      <c r="F58" s="549"/>
      <c r="G58" s="550"/>
    </row>
    <row r="59" spans="1:7" ht="23.25">
      <c r="A59" s="549"/>
      <c r="B59" s="549"/>
      <c r="C59" s="549"/>
      <c r="D59" s="549"/>
      <c r="E59" s="549"/>
      <c r="F59" s="549"/>
      <c r="G59" s="550"/>
    </row>
    <row r="60" spans="1:7" ht="23.25">
      <c r="A60" s="549"/>
      <c r="B60" s="549"/>
      <c r="C60" s="549"/>
      <c r="D60" s="549"/>
      <c r="E60" s="549"/>
      <c r="F60" s="549"/>
      <c r="G60" s="550"/>
    </row>
    <row r="61" spans="1:7" ht="23.25">
      <c r="A61" s="549"/>
      <c r="B61" s="549"/>
      <c r="C61" s="549"/>
      <c r="D61" s="549"/>
      <c r="E61" s="549"/>
      <c r="F61" s="549"/>
      <c r="G61" s="550"/>
    </row>
    <row r="62" spans="1:7" ht="23.25">
      <c r="A62" s="549"/>
      <c r="B62" s="549"/>
      <c r="C62" s="549"/>
      <c r="D62" s="549"/>
      <c r="E62" s="549"/>
      <c r="F62" s="549"/>
      <c r="G62" s="550"/>
    </row>
    <row r="63" spans="1:7" ht="23.25">
      <c r="A63" s="549"/>
      <c r="B63" s="549"/>
      <c r="C63" s="549"/>
      <c r="D63" s="549"/>
      <c r="E63" s="549"/>
      <c r="F63" s="549"/>
      <c r="G63" s="550"/>
    </row>
    <row r="64" spans="1:7" ht="23.25">
      <c r="A64" s="549"/>
      <c r="B64" s="549"/>
      <c r="C64" s="549"/>
      <c r="D64" s="549"/>
      <c r="E64" s="549"/>
      <c r="F64" s="549"/>
      <c r="G64" s="550"/>
    </row>
    <row r="65" spans="1:7" ht="23.25">
      <c r="A65" s="549"/>
      <c r="B65" s="549"/>
      <c r="C65" s="549"/>
      <c r="D65" s="549"/>
      <c r="E65" s="549"/>
      <c r="F65" s="549"/>
      <c r="G65" s="550"/>
    </row>
    <row r="66" spans="1:7" ht="23.25">
      <c r="A66" s="549"/>
      <c r="B66" s="549"/>
      <c r="C66" s="549"/>
      <c r="D66" s="549"/>
      <c r="E66" s="549"/>
      <c r="F66" s="549"/>
      <c r="G66" s="550"/>
    </row>
  </sheetData>
  <mergeCells count="5">
    <mergeCell ref="A20:F20"/>
    <mergeCell ref="A3:G3"/>
    <mergeCell ref="A4:G4"/>
    <mergeCell ref="A5:G5"/>
    <mergeCell ref="A52:F52"/>
  </mergeCells>
  <pageMargins left="0.19685039370078741" right="0.19685039370078741" top="0.2" bottom="0.31496062992125984" header="0.22" footer="0.31496062992125984"/>
  <pageSetup paperSize="9" scale="94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B15" sqref="B15"/>
    </sheetView>
  </sheetViews>
  <sheetFormatPr defaultRowHeight="21"/>
  <cols>
    <col min="1" max="1" width="10.875" style="293" customWidth="1"/>
    <col min="2" max="2" width="42.125" style="293" customWidth="1"/>
    <col min="3" max="3" width="15.625" style="321" customWidth="1"/>
    <col min="4" max="4" width="3.125" style="321" customWidth="1"/>
    <col min="5" max="5" width="15.625" style="321" customWidth="1"/>
    <col min="6" max="16384" width="9" style="293"/>
  </cols>
  <sheetData>
    <row r="1" spans="1:5" s="15" customFormat="1">
      <c r="A1" s="741" t="s">
        <v>141</v>
      </c>
      <c r="B1" s="741"/>
      <c r="C1" s="741"/>
      <c r="D1" s="741"/>
      <c r="E1" s="741"/>
    </row>
    <row r="2" spans="1:5" s="15" customFormat="1">
      <c r="A2" s="741" t="s">
        <v>23</v>
      </c>
      <c r="B2" s="741"/>
      <c r="C2" s="741"/>
      <c r="D2" s="741"/>
      <c r="E2" s="741"/>
    </row>
    <row r="3" spans="1:5" s="15" customFormat="1">
      <c r="A3" s="742" t="s">
        <v>917</v>
      </c>
      <c r="B3" s="742"/>
      <c r="C3" s="742"/>
      <c r="D3" s="742"/>
      <c r="E3" s="742"/>
    </row>
    <row r="4" spans="1:5" s="15" customFormat="1">
      <c r="A4" s="460"/>
      <c r="B4" s="460"/>
      <c r="C4" s="460"/>
      <c r="D4" s="460"/>
      <c r="E4" s="460"/>
    </row>
    <row r="5" spans="1:5" s="15" customFormat="1">
      <c r="A5" s="16" t="s">
        <v>1295</v>
      </c>
      <c r="C5" s="20"/>
      <c r="D5" s="20"/>
      <c r="E5" s="20"/>
    </row>
    <row r="6" spans="1:5" s="15" customFormat="1">
      <c r="A6" s="16"/>
      <c r="C6" s="17" t="s">
        <v>927</v>
      </c>
      <c r="D6" s="17"/>
      <c r="E6" s="17" t="s">
        <v>791</v>
      </c>
    </row>
    <row r="7" spans="1:5">
      <c r="B7" s="293" t="s">
        <v>116</v>
      </c>
      <c r="C7" s="321">
        <v>13614.05</v>
      </c>
      <c r="E7" s="321">
        <v>6400.5</v>
      </c>
    </row>
    <row r="8" spans="1:5">
      <c r="B8" s="293" t="s">
        <v>117</v>
      </c>
      <c r="C8" s="321">
        <v>0</v>
      </c>
      <c r="E8" s="321">
        <v>0</v>
      </c>
    </row>
    <row r="9" spans="1:5">
      <c r="B9" s="293" t="s">
        <v>118</v>
      </c>
      <c r="C9" s="321">
        <v>11624.16</v>
      </c>
      <c r="E9" s="321">
        <v>13210.98</v>
      </c>
    </row>
    <row r="10" spans="1:5">
      <c r="B10" s="293" t="s">
        <v>119</v>
      </c>
      <c r="C10" s="321">
        <v>186065</v>
      </c>
      <c r="E10" s="321">
        <v>556720</v>
      </c>
    </row>
    <row r="11" spans="1:5">
      <c r="B11" s="293" t="s">
        <v>120</v>
      </c>
      <c r="C11" s="321">
        <v>1771716.55</v>
      </c>
      <c r="E11" s="321">
        <v>1771540.07</v>
      </c>
    </row>
    <row r="12" spans="1:5">
      <c r="B12" s="491" t="s">
        <v>1313</v>
      </c>
      <c r="C12" s="322">
        <v>32500</v>
      </c>
      <c r="E12" s="322">
        <v>32500</v>
      </c>
    </row>
    <row r="13" spans="1:5">
      <c r="B13" s="293" t="s">
        <v>928</v>
      </c>
      <c r="C13" s="322">
        <v>2180</v>
      </c>
      <c r="E13" s="322">
        <v>0</v>
      </c>
    </row>
    <row r="14" spans="1:5">
      <c r="B14" s="293" t="s">
        <v>929</v>
      </c>
      <c r="C14" s="322">
        <v>22560.06</v>
      </c>
      <c r="E14" s="322">
        <v>0</v>
      </c>
    </row>
    <row r="15" spans="1:5">
      <c r="B15" s="293" t="s">
        <v>930</v>
      </c>
      <c r="C15" s="322">
        <v>11995</v>
      </c>
      <c r="E15" s="322">
        <v>0</v>
      </c>
    </row>
    <row r="16" spans="1:5">
      <c r="B16" s="293" t="s">
        <v>931</v>
      </c>
      <c r="C16" s="322"/>
      <c r="E16" s="322"/>
    </row>
    <row r="17" spans="2:5">
      <c r="B17" s="293" t="s">
        <v>797</v>
      </c>
      <c r="C17" s="322">
        <v>0</v>
      </c>
      <c r="E17" s="322">
        <v>6000</v>
      </c>
    </row>
    <row r="18" spans="2:5">
      <c r="B18" s="293" t="s">
        <v>798</v>
      </c>
      <c r="C18" s="322">
        <v>0</v>
      </c>
      <c r="E18" s="322">
        <v>2400</v>
      </c>
    </row>
    <row r="19" spans="2:5" ht="21.75" thickBot="1">
      <c r="B19" s="565" t="s">
        <v>778</v>
      </c>
      <c r="C19" s="546">
        <f>SUM(C7:C18)</f>
        <v>2052254.82</v>
      </c>
      <c r="D19" s="547"/>
      <c r="E19" s="546">
        <f>SUM(E7:E18)</f>
        <v>2388771.5499999998</v>
      </c>
    </row>
    <row r="20" spans="2:5" ht="21.75" thickTop="1"/>
  </sheetData>
  <mergeCells count="3">
    <mergeCell ref="A1:E1"/>
    <mergeCell ref="A2:E2"/>
    <mergeCell ref="A3:E3"/>
  </mergeCells>
  <pageMargins left="0.61" right="0.21" top="0.74803149606299213" bottom="0.74803149606299213" header="0.31496062992125984" footer="0.31496062992125984"/>
  <pageSetup paperSize="9" orientation="portrait" verticalDpi="0" copies="2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93"/>
  <sheetViews>
    <sheetView workbookViewId="0">
      <selection activeCell="M8" sqref="M8"/>
    </sheetView>
  </sheetViews>
  <sheetFormatPr defaultRowHeight="18.75"/>
  <cols>
    <col min="1" max="1" width="4.125" style="491" customWidth="1"/>
    <col min="2" max="2" width="39.5" style="491" customWidth="1"/>
    <col min="3" max="4" width="12.625" style="354" customWidth="1"/>
    <col min="5" max="5" width="14" style="354" customWidth="1"/>
    <col min="6" max="6" width="12.5" style="354" customWidth="1"/>
    <col min="7" max="7" width="13.75" style="354" customWidth="1"/>
    <col min="8" max="8" width="14.75" style="354" customWidth="1"/>
    <col min="9" max="9" width="9" style="491"/>
    <col min="10" max="10" width="12.625" style="491" customWidth="1"/>
    <col min="11" max="16384" width="9" style="491"/>
  </cols>
  <sheetData>
    <row r="1" spans="1:11" s="260" customFormat="1">
      <c r="A1" s="755" t="str">
        <f>[1]งบแสดงฐานะ!A1</f>
        <v>องค์การบริหารส่วนตำบลบ้านกอก  อำเภอจัตุรัส  จังหวัดชัยภูมิ</v>
      </c>
      <c r="B1" s="755"/>
      <c r="C1" s="755"/>
      <c r="D1" s="755"/>
      <c r="E1" s="755"/>
      <c r="F1" s="755"/>
      <c r="G1" s="755"/>
      <c r="H1" s="755"/>
      <c r="I1" s="259"/>
      <c r="J1" s="259"/>
      <c r="K1" s="259"/>
    </row>
    <row r="2" spans="1:11" s="260" customFormat="1">
      <c r="A2" s="755" t="s">
        <v>23</v>
      </c>
      <c r="B2" s="755"/>
      <c r="C2" s="755"/>
      <c r="D2" s="755"/>
      <c r="E2" s="755"/>
      <c r="F2" s="755"/>
      <c r="G2" s="755"/>
      <c r="H2" s="755"/>
      <c r="I2" s="259"/>
      <c r="J2" s="259"/>
      <c r="K2" s="259"/>
    </row>
    <row r="3" spans="1:11" s="260" customFormat="1">
      <c r="A3" s="756" t="s">
        <v>917</v>
      </c>
      <c r="B3" s="756"/>
      <c r="C3" s="756"/>
      <c r="D3" s="756"/>
      <c r="E3" s="756"/>
      <c r="F3" s="756"/>
      <c r="G3" s="756"/>
      <c r="H3" s="756"/>
      <c r="I3" s="261"/>
      <c r="J3" s="261"/>
      <c r="K3" s="261"/>
    </row>
    <row r="4" spans="1:11" s="260" customFormat="1">
      <c r="A4" s="262" t="s">
        <v>1090</v>
      </c>
      <c r="C4" s="263"/>
      <c r="D4" s="263"/>
      <c r="E4" s="264"/>
      <c r="F4" s="263"/>
      <c r="G4" s="263"/>
      <c r="H4" s="264"/>
      <c r="I4" s="264"/>
      <c r="J4" s="264"/>
      <c r="K4" s="263"/>
    </row>
    <row r="5" spans="1:11">
      <c r="C5" s="757" t="s">
        <v>1098</v>
      </c>
      <c r="D5" s="757"/>
      <c r="E5" s="757"/>
      <c r="F5" s="757" t="s">
        <v>58</v>
      </c>
      <c r="G5" s="757"/>
      <c r="H5" s="757"/>
    </row>
    <row r="6" spans="1:11" ht="22.5">
      <c r="A6" s="566" t="s">
        <v>1099</v>
      </c>
      <c r="B6" s="567"/>
      <c r="C6" s="346"/>
      <c r="D6" s="347"/>
      <c r="E6" s="348">
        <v>13865957.279999999</v>
      </c>
      <c r="F6" s="346"/>
      <c r="G6" s="347"/>
      <c r="H6" s="568">
        <v>10131317.16</v>
      </c>
    </row>
    <row r="7" spans="1:11" ht="22.5">
      <c r="A7" s="352"/>
      <c r="B7" s="353" t="s">
        <v>52</v>
      </c>
      <c r="C7" s="316">
        <v>5886684.6399999997</v>
      </c>
      <c r="D7" s="314"/>
      <c r="E7" s="314"/>
      <c r="F7" s="316">
        <v>6920237.5800000001</v>
      </c>
      <c r="G7" s="314"/>
      <c r="H7" s="315"/>
    </row>
    <row r="8" spans="1:11">
      <c r="A8" s="352"/>
      <c r="B8" s="353" t="s">
        <v>1100</v>
      </c>
      <c r="C8" s="317"/>
      <c r="D8" s="314"/>
      <c r="E8" s="314"/>
      <c r="F8" s="317"/>
      <c r="G8" s="314"/>
      <c r="H8" s="315"/>
    </row>
    <row r="9" spans="1:11" ht="22.5">
      <c r="A9" s="352"/>
      <c r="B9" s="353" t="s">
        <v>53</v>
      </c>
      <c r="C9" s="319">
        <v>883002.7</v>
      </c>
      <c r="D9" s="314"/>
      <c r="E9" s="314"/>
      <c r="F9" s="319">
        <v>1730059.4</v>
      </c>
      <c r="G9" s="314"/>
      <c r="H9" s="315"/>
    </row>
    <row r="10" spans="1:11">
      <c r="A10" s="569" t="s">
        <v>54</v>
      </c>
      <c r="B10" s="353" t="s">
        <v>55</v>
      </c>
      <c r="C10" s="317"/>
      <c r="D10" s="314">
        <v>5003681.9400000004</v>
      </c>
      <c r="E10" s="314"/>
      <c r="F10" s="317"/>
      <c r="G10" s="314">
        <v>5190178.18</v>
      </c>
      <c r="H10" s="315"/>
    </row>
    <row r="11" spans="1:11">
      <c r="A11" s="352"/>
      <c r="B11" s="353" t="s">
        <v>1101</v>
      </c>
      <c r="C11" s="317"/>
      <c r="D11" s="314">
        <v>6300</v>
      </c>
      <c r="E11" s="314"/>
      <c r="F11" s="317"/>
      <c r="G11" s="314"/>
      <c r="H11" s="315"/>
    </row>
    <row r="12" spans="1:11" ht="22.5">
      <c r="A12" s="495" t="s">
        <v>231</v>
      </c>
      <c r="B12" s="570"/>
      <c r="C12" s="317"/>
      <c r="D12" s="314"/>
      <c r="E12" s="314"/>
      <c r="F12" s="317"/>
      <c r="G12" s="314">
        <v>10040</v>
      </c>
      <c r="H12" s="315"/>
    </row>
    <row r="13" spans="1:11" ht="22.5">
      <c r="A13" s="495" t="s">
        <v>234</v>
      </c>
      <c r="B13" s="570"/>
      <c r="C13" s="317"/>
      <c r="D13" s="314"/>
      <c r="E13" s="314"/>
      <c r="F13" s="317"/>
      <c r="G13" s="314">
        <v>56846.7</v>
      </c>
      <c r="H13" s="315"/>
    </row>
    <row r="14" spans="1:11" ht="22.5">
      <c r="A14" s="495" t="s">
        <v>232</v>
      </c>
      <c r="B14" s="570"/>
      <c r="C14" s="317"/>
      <c r="D14" s="314"/>
      <c r="E14" s="314"/>
      <c r="F14" s="317"/>
      <c r="G14" s="314">
        <v>378111</v>
      </c>
      <c r="H14" s="315"/>
    </row>
    <row r="15" spans="1:11">
      <c r="A15" s="352"/>
      <c r="B15" s="353"/>
      <c r="C15" s="317"/>
      <c r="D15" s="314"/>
      <c r="E15" s="314"/>
      <c r="F15" s="317"/>
      <c r="G15" s="314"/>
      <c r="H15" s="315"/>
    </row>
    <row r="16" spans="1:11">
      <c r="A16" s="569" t="s">
        <v>56</v>
      </c>
      <c r="B16" s="353" t="s">
        <v>57</v>
      </c>
      <c r="C16" s="317"/>
      <c r="D16" s="349">
        <v>-2983700</v>
      </c>
      <c r="E16" s="314">
        <v>2026281.94</v>
      </c>
      <c r="F16" s="317"/>
      <c r="G16" s="349">
        <v>-1851000</v>
      </c>
      <c r="H16" s="315"/>
    </row>
    <row r="17" spans="1:8">
      <c r="A17" s="569"/>
      <c r="B17" s="353" t="s">
        <v>779</v>
      </c>
      <c r="C17" s="317"/>
      <c r="D17" s="349"/>
      <c r="E17" s="314"/>
      <c r="F17" s="317"/>
      <c r="G17" s="349">
        <v>-41135.760000000002</v>
      </c>
      <c r="H17" s="315"/>
    </row>
    <row r="18" spans="1:8">
      <c r="A18" s="569"/>
      <c r="B18" s="353" t="s">
        <v>780</v>
      </c>
      <c r="C18" s="317"/>
      <c r="D18" s="349"/>
      <c r="E18" s="314"/>
      <c r="F18" s="317"/>
      <c r="G18" s="349">
        <v>-6000</v>
      </c>
      <c r="H18" s="315"/>
    </row>
    <row r="19" spans="1:8">
      <c r="A19" s="569"/>
      <c r="B19" s="353" t="s">
        <v>781</v>
      </c>
      <c r="C19" s="317"/>
      <c r="D19" s="350"/>
      <c r="E19" s="351"/>
      <c r="F19" s="317"/>
      <c r="G19" s="350">
        <v>-2400</v>
      </c>
      <c r="H19" s="351">
        <v>3734640.12</v>
      </c>
    </row>
    <row r="20" spans="1:8" ht="19.5" thickBot="1">
      <c r="A20" s="352" t="s">
        <v>1102</v>
      </c>
      <c r="B20" s="353"/>
      <c r="C20" s="317"/>
      <c r="D20" s="314"/>
      <c r="E20" s="323">
        <v>15892239.220000001</v>
      </c>
      <c r="F20" s="317"/>
      <c r="G20" s="314"/>
      <c r="H20" s="323">
        <v>13865957.279999999</v>
      </c>
    </row>
    <row r="21" spans="1:8" ht="19.5" thickTop="1">
      <c r="A21" s="571"/>
      <c r="B21" s="572"/>
      <c r="C21" s="573"/>
      <c r="D21" s="355"/>
      <c r="E21" s="355"/>
      <c r="F21" s="573"/>
      <c r="G21" s="355"/>
      <c r="H21" s="351"/>
    </row>
    <row r="23" spans="1:8">
      <c r="A23" s="491" t="s">
        <v>1103</v>
      </c>
      <c r="D23" s="574" t="s">
        <v>58</v>
      </c>
      <c r="G23" s="574" t="s">
        <v>58</v>
      </c>
    </row>
    <row r="24" spans="1:8">
      <c r="B24" s="491" t="s">
        <v>804</v>
      </c>
      <c r="D24" s="354">
        <v>42400</v>
      </c>
      <c r="G24" s="354">
        <v>42400</v>
      </c>
    </row>
    <row r="25" spans="1:8">
      <c r="B25" s="491" t="s">
        <v>235</v>
      </c>
      <c r="D25" s="354">
        <v>20033.28</v>
      </c>
      <c r="G25" s="354">
        <v>12283.92</v>
      </c>
    </row>
    <row r="26" spans="1:8">
      <c r="B26" s="491" t="s">
        <v>236</v>
      </c>
      <c r="D26" s="354">
        <v>0</v>
      </c>
      <c r="G26" s="354">
        <v>13518.75</v>
      </c>
    </row>
    <row r="27" spans="1:8">
      <c r="B27" s="491" t="s">
        <v>237</v>
      </c>
      <c r="D27" s="355">
        <v>15829805.939999999</v>
      </c>
      <c r="G27" s="355">
        <v>13797754.609999999</v>
      </c>
    </row>
    <row r="28" spans="1:8" ht="19.5" thickBot="1">
      <c r="D28" s="265">
        <f>SUM(D24:D27)</f>
        <v>15892239.219999999</v>
      </c>
      <c r="G28" s="265">
        <f>SUM(G24:G27)</f>
        <v>13865957.279999999</v>
      </c>
    </row>
    <row r="29" spans="1:8" ht="19.5" thickTop="1"/>
    <row r="30" spans="1:8">
      <c r="D30" s="574" t="s">
        <v>1098</v>
      </c>
      <c r="F30" s="575"/>
      <c r="G30" s="574" t="s">
        <v>58</v>
      </c>
    </row>
    <row r="31" spans="1:8">
      <c r="A31" s="491" t="s">
        <v>59</v>
      </c>
      <c r="D31" s="576" t="s">
        <v>149</v>
      </c>
      <c r="G31" s="354">
        <v>0</v>
      </c>
    </row>
    <row r="32" spans="1:8">
      <c r="A32" s="577" t="s">
        <v>1314</v>
      </c>
    </row>
    <row r="54" spans="1:11" s="260" customFormat="1">
      <c r="A54" s="755"/>
      <c r="B54" s="755"/>
      <c r="C54" s="755"/>
      <c r="D54" s="755"/>
      <c r="E54" s="755"/>
      <c r="F54" s="755"/>
      <c r="G54" s="755"/>
      <c r="H54" s="755"/>
      <c r="I54" s="259"/>
      <c r="J54" s="259"/>
      <c r="K54" s="259"/>
    </row>
    <row r="55" spans="1:11" s="260" customFormat="1">
      <c r="A55" s="755" t="s">
        <v>23</v>
      </c>
      <c r="B55" s="755"/>
      <c r="C55" s="755"/>
      <c r="D55" s="755"/>
      <c r="E55" s="755"/>
      <c r="F55" s="755"/>
      <c r="G55" s="755"/>
      <c r="H55" s="755"/>
      <c r="I55" s="259"/>
      <c r="J55" s="259"/>
      <c r="K55" s="259"/>
    </row>
    <row r="56" spans="1:11" s="260" customFormat="1">
      <c r="A56" s="756" t="s">
        <v>24</v>
      </c>
      <c r="B56" s="756"/>
      <c r="C56" s="756"/>
      <c r="D56" s="756"/>
      <c r="E56" s="756"/>
      <c r="F56" s="756"/>
      <c r="G56" s="756"/>
      <c r="H56" s="756"/>
      <c r="I56" s="261"/>
      <c r="J56" s="261"/>
      <c r="K56" s="261"/>
    </row>
    <row r="57" spans="1:11" s="260" customFormat="1">
      <c r="A57" s="262" t="s">
        <v>1090</v>
      </c>
      <c r="C57" s="263"/>
      <c r="D57" s="263"/>
      <c r="E57" s="264"/>
      <c r="F57" s="263"/>
      <c r="G57" s="263"/>
      <c r="H57" s="264"/>
      <c r="I57" s="264"/>
      <c r="J57" s="264"/>
      <c r="K57" s="263"/>
    </row>
    <row r="58" spans="1:11">
      <c r="C58" s="757" t="s">
        <v>58</v>
      </c>
      <c r="D58" s="757"/>
      <c r="E58" s="757"/>
      <c r="F58" s="757" t="s">
        <v>42</v>
      </c>
      <c r="G58" s="757"/>
      <c r="H58" s="757"/>
    </row>
    <row r="59" spans="1:11" ht="22.5">
      <c r="A59" s="566" t="s">
        <v>233</v>
      </c>
      <c r="B59" s="567"/>
      <c r="C59" s="346"/>
      <c r="D59" s="347"/>
      <c r="E59" s="348">
        <v>10131317.16</v>
      </c>
      <c r="F59" s="346"/>
      <c r="G59" s="347"/>
      <c r="H59" s="578">
        <v>11466612.6</v>
      </c>
    </row>
    <row r="60" spans="1:11" ht="22.5">
      <c r="A60" s="352"/>
      <c r="B60" s="353" t="s">
        <v>52</v>
      </c>
      <c r="C60" s="316">
        <v>6920237.5800000001</v>
      </c>
      <c r="D60" s="314"/>
      <c r="E60" s="314"/>
      <c r="F60" s="318">
        <v>3892647.95</v>
      </c>
      <c r="G60" s="314"/>
      <c r="H60" s="315"/>
    </row>
    <row r="61" spans="1:11">
      <c r="A61" s="352"/>
      <c r="B61" s="353" t="s">
        <v>657</v>
      </c>
      <c r="C61" s="317"/>
      <c r="D61" s="314"/>
      <c r="E61" s="314"/>
      <c r="F61" s="317"/>
      <c r="G61" s="314"/>
      <c r="H61" s="315"/>
    </row>
    <row r="62" spans="1:11" ht="22.5">
      <c r="A62" s="352"/>
      <c r="B62" s="353" t="s">
        <v>53</v>
      </c>
      <c r="C62" s="319">
        <v>1730059.4</v>
      </c>
      <c r="D62" s="314"/>
      <c r="E62" s="314"/>
      <c r="F62" s="319">
        <v>973161.99</v>
      </c>
      <c r="G62" s="314"/>
      <c r="H62" s="315"/>
    </row>
    <row r="63" spans="1:11">
      <c r="A63" s="569" t="s">
        <v>54</v>
      </c>
      <c r="B63" s="353" t="s">
        <v>55</v>
      </c>
      <c r="C63" s="317"/>
      <c r="D63" s="314">
        <v>5190178.18</v>
      </c>
      <c r="E63" s="314"/>
      <c r="F63" s="317"/>
      <c r="G63" s="314">
        <v>2919485.96</v>
      </c>
      <c r="H63" s="315"/>
    </row>
    <row r="64" spans="1:11">
      <c r="A64" s="352"/>
      <c r="B64" s="353" t="s">
        <v>15</v>
      </c>
      <c r="C64" s="317"/>
      <c r="D64" s="314"/>
      <c r="E64" s="314"/>
      <c r="F64" s="317"/>
      <c r="G64" s="314"/>
      <c r="H64" s="315"/>
    </row>
    <row r="65" spans="1:8" ht="22.5">
      <c r="A65" s="495" t="s">
        <v>225</v>
      </c>
      <c r="B65" s="570"/>
      <c r="C65" s="317"/>
      <c r="D65" s="314"/>
      <c r="E65" s="314"/>
      <c r="F65" s="317"/>
      <c r="G65" s="314">
        <v>9925.6</v>
      </c>
      <c r="H65" s="315"/>
    </row>
    <row r="66" spans="1:8" ht="22.5">
      <c r="A66" s="497" t="s">
        <v>799</v>
      </c>
      <c r="B66" s="579"/>
      <c r="C66" s="317"/>
      <c r="D66" s="314"/>
      <c r="E66" s="314"/>
      <c r="F66" s="317"/>
      <c r="G66" s="314">
        <v>89035</v>
      </c>
      <c r="H66" s="315"/>
    </row>
    <row r="67" spans="1:8" ht="22.5">
      <c r="A67" s="495"/>
      <c r="B67" s="570" t="s">
        <v>800</v>
      </c>
      <c r="C67" s="317"/>
      <c r="D67" s="314"/>
      <c r="E67" s="314"/>
      <c r="F67" s="317"/>
      <c r="G67" s="314"/>
      <c r="H67" s="315"/>
    </row>
    <row r="68" spans="1:8" ht="22.5">
      <c r="A68" s="495" t="s">
        <v>226</v>
      </c>
      <c r="B68" s="570"/>
      <c r="C68" s="317"/>
      <c r="D68" s="314"/>
      <c r="E68" s="314"/>
      <c r="F68" s="317"/>
      <c r="G68" s="314">
        <v>8400</v>
      </c>
      <c r="H68" s="315"/>
    </row>
    <row r="69" spans="1:8" ht="22.5">
      <c r="A69" s="495" t="s">
        <v>227</v>
      </c>
      <c r="B69" s="570"/>
      <c r="C69" s="317"/>
      <c r="D69" s="314"/>
      <c r="E69" s="314"/>
      <c r="F69" s="317"/>
      <c r="G69" s="314">
        <v>5400</v>
      </c>
      <c r="H69" s="315"/>
    </row>
    <row r="70" spans="1:8" ht="22.5">
      <c r="A70" s="495" t="s">
        <v>228</v>
      </c>
      <c r="B70" s="570"/>
      <c r="C70" s="317"/>
      <c r="D70" s="314"/>
      <c r="E70" s="314"/>
      <c r="F70" s="317"/>
      <c r="G70" s="314">
        <v>238</v>
      </c>
      <c r="H70" s="315"/>
    </row>
    <row r="71" spans="1:8" ht="22.5">
      <c r="A71" s="495" t="s">
        <v>229</v>
      </c>
      <c r="B71" s="570"/>
      <c r="C71" s="317"/>
      <c r="D71" s="314"/>
      <c r="E71" s="314"/>
      <c r="F71" s="317"/>
      <c r="G71" s="314">
        <v>3020</v>
      </c>
      <c r="H71" s="315"/>
    </row>
    <row r="72" spans="1:8" ht="22.5">
      <c r="A72" s="495" t="s">
        <v>230</v>
      </c>
      <c r="B72" s="570"/>
      <c r="C72" s="317"/>
      <c r="D72" s="314"/>
      <c r="E72" s="314"/>
      <c r="F72" s="317"/>
      <c r="G72" s="314">
        <v>3000</v>
      </c>
      <c r="H72" s="315"/>
    </row>
    <row r="73" spans="1:8" ht="22.5">
      <c r="A73" s="495" t="s">
        <v>231</v>
      </c>
      <c r="B73" s="570"/>
      <c r="C73" s="317"/>
      <c r="D73" s="314">
        <v>10040</v>
      </c>
      <c r="E73" s="314"/>
      <c r="F73" s="317"/>
      <c r="G73" s="314"/>
      <c r="H73" s="315"/>
    </row>
    <row r="74" spans="1:8" ht="22.5">
      <c r="A74" s="495" t="s">
        <v>234</v>
      </c>
      <c r="B74" s="570"/>
      <c r="C74" s="317"/>
      <c r="D74" s="314">
        <v>56846.7</v>
      </c>
      <c r="E74" s="314"/>
      <c r="F74" s="317"/>
      <c r="G74" s="314"/>
      <c r="H74" s="315"/>
    </row>
    <row r="75" spans="1:8" ht="22.5">
      <c r="A75" s="495" t="s">
        <v>232</v>
      </c>
      <c r="B75" s="570"/>
      <c r="C75" s="317"/>
      <c r="D75" s="314">
        <v>378111</v>
      </c>
      <c r="E75" s="314"/>
      <c r="F75" s="317"/>
      <c r="G75" s="314"/>
      <c r="H75" s="315"/>
    </row>
    <row r="76" spans="1:8">
      <c r="A76" s="352"/>
      <c r="B76" s="353"/>
      <c r="C76" s="317"/>
      <c r="D76" s="314"/>
      <c r="E76" s="314"/>
      <c r="F76" s="317"/>
      <c r="G76" s="314"/>
      <c r="H76" s="315"/>
    </row>
    <row r="77" spans="1:8">
      <c r="A77" s="569" t="s">
        <v>56</v>
      </c>
      <c r="B77" s="353" t="s">
        <v>57</v>
      </c>
      <c r="C77" s="317"/>
      <c r="D77" s="349">
        <v>-1851000</v>
      </c>
      <c r="E77" s="314"/>
      <c r="F77" s="317"/>
      <c r="G77" s="350">
        <v>-4373800</v>
      </c>
      <c r="H77" s="580">
        <v>-1335295.44</v>
      </c>
    </row>
    <row r="78" spans="1:8">
      <c r="A78" s="569"/>
      <c r="B78" s="353" t="s">
        <v>779</v>
      </c>
      <c r="C78" s="317"/>
      <c r="D78" s="349">
        <v>-41135.760000000002</v>
      </c>
      <c r="E78" s="314"/>
      <c r="F78" s="317"/>
      <c r="G78" s="314"/>
      <c r="H78" s="315"/>
    </row>
    <row r="79" spans="1:8">
      <c r="A79" s="569"/>
      <c r="B79" s="353" t="s">
        <v>780</v>
      </c>
      <c r="C79" s="317"/>
      <c r="D79" s="349">
        <v>-6000</v>
      </c>
      <c r="E79" s="314"/>
      <c r="F79" s="317"/>
      <c r="G79" s="314"/>
      <c r="H79" s="315"/>
    </row>
    <row r="80" spans="1:8">
      <c r="A80" s="569"/>
      <c r="B80" s="353" t="s">
        <v>781</v>
      </c>
      <c r="C80" s="317"/>
      <c r="D80" s="350">
        <v>-2400</v>
      </c>
      <c r="E80" s="351">
        <v>3734640.12</v>
      </c>
      <c r="F80" s="317"/>
      <c r="G80" s="314"/>
      <c r="H80" s="315"/>
    </row>
    <row r="81" spans="1:8" ht="19.5" thickBot="1">
      <c r="A81" s="352" t="s">
        <v>805</v>
      </c>
      <c r="B81" s="353"/>
      <c r="C81" s="317"/>
      <c r="D81" s="314"/>
      <c r="E81" s="323">
        <v>13865957.279999999</v>
      </c>
      <c r="F81" s="317"/>
      <c r="G81" s="314"/>
      <c r="H81" s="323">
        <f>H59+H77</f>
        <v>10131317.16</v>
      </c>
    </row>
    <row r="82" spans="1:8" ht="19.5" thickTop="1">
      <c r="A82" s="571"/>
      <c r="B82" s="572"/>
      <c r="C82" s="573"/>
      <c r="D82" s="355"/>
      <c r="E82" s="355"/>
      <c r="F82" s="573"/>
      <c r="G82" s="355"/>
      <c r="H82" s="351"/>
    </row>
    <row r="84" spans="1:8">
      <c r="A84" s="491" t="s">
        <v>629</v>
      </c>
      <c r="D84" s="574" t="s">
        <v>58</v>
      </c>
      <c r="G84" s="574" t="s">
        <v>42</v>
      </c>
    </row>
    <row r="85" spans="1:8">
      <c r="B85" s="491" t="s">
        <v>804</v>
      </c>
      <c r="D85" s="354">
        <v>42400</v>
      </c>
      <c r="G85" s="354">
        <v>42400</v>
      </c>
    </row>
    <row r="86" spans="1:8">
      <c r="B86" s="491" t="s">
        <v>235</v>
      </c>
      <c r="D86" s="354">
        <v>12283.92</v>
      </c>
      <c r="G86" s="354">
        <v>77762.86</v>
      </c>
    </row>
    <row r="87" spans="1:8">
      <c r="B87" s="491" t="s">
        <v>236</v>
      </c>
      <c r="D87" s="354">
        <v>13518.75</v>
      </c>
      <c r="G87" s="354">
        <v>25518.75</v>
      </c>
    </row>
    <row r="88" spans="1:8">
      <c r="B88" s="491" t="s">
        <v>237</v>
      </c>
      <c r="D88" s="355">
        <v>13797754.609999999</v>
      </c>
      <c r="G88" s="355">
        <v>9985635.5500000007</v>
      </c>
    </row>
    <row r="89" spans="1:8" ht="19.5" thickBot="1">
      <c r="D89" s="265">
        <f>SUM(D85:D88)</f>
        <v>13865957.279999999</v>
      </c>
      <c r="G89" s="265">
        <f>SUM(G85:G88)</f>
        <v>10131317.16</v>
      </c>
    </row>
    <row r="90" spans="1:8" ht="19.5" thickTop="1"/>
    <row r="91" spans="1:8">
      <c r="D91" s="574" t="s">
        <v>58</v>
      </c>
      <c r="F91" s="575"/>
      <c r="G91" s="574" t="s">
        <v>42</v>
      </c>
    </row>
    <row r="92" spans="1:8">
      <c r="A92" s="491" t="s">
        <v>59</v>
      </c>
      <c r="D92" s="576" t="s">
        <v>149</v>
      </c>
      <c r="G92" s="354">
        <v>340000</v>
      </c>
    </row>
    <row r="93" spans="1:8">
      <c r="A93" s="577" t="s">
        <v>656</v>
      </c>
    </row>
  </sheetData>
  <mergeCells count="10">
    <mergeCell ref="A54:H54"/>
    <mergeCell ref="A55:H55"/>
    <mergeCell ref="A56:H56"/>
    <mergeCell ref="C58:E58"/>
    <mergeCell ref="F58:H58"/>
    <mergeCell ref="A1:H1"/>
    <mergeCell ref="A2:H2"/>
    <mergeCell ref="A3:H3"/>
    <mergeCell ref="C5:E5"/>
    <mergeCell ref="F5:H5"/>
  </mergeCells>
  <printOptions horizontalCentered="1"/>
  <pageMargins left="0.19685039370078741" right="0.19685039370078741" top="0.63" bottom="0.39370078740157483" header="0.31496062992125984" footer="0.19685039370078741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3:H216"/>
  <sheetViews>
    <sheetView workbookViewId="0">
      <selection activeCell="C125" sqref="C125"/>
    </sheetView>
  </sheetViews>
  <sheetFormatPr defaultRowHeight="14.25"/>
  <cols>
    <col min="1" max="1" width="15.625" style="384" customWidth="1"/>
    <col min="2" max="2" width="18.5" style="384" customWidth="1"/>
    <col min="3" max="3" width="54.125" style="384" customWidth="1"/>
    <col min="4" max="4" width="13.625" style="384" customWidth="1"/>
    <col min="5" max="5" width="13.625" style="384" bestFit="1" customWidth="1"/>
    <col min="6" max="6" width="14" style="384" customWidth="1"/>
    <col min="7" max="7" width="10.125" style="384" customWidth="1"/>
    <col min="8" max="8" width="10.375" style="384" customWidth="1"/>
    <col min="9" max="9" width="14" style="384" customWidth="1"/>
    <col min="10" max="257" width="9" style="384"/>
    <col min="258" max="258" width="15.625" style="384" customWidth="1"/>
    <col min="259" max="259" width="55.75" style="384" customWidth="1"/>
    <col min="260" max="260" width="13.375" style="384" customWidth="1"/>
    <col min="261" max="261" width="13.875" style="384" customWidth="1"/>
    <col min="262" max="262" width="13.25" style="384" customWidth="1"/>
    <col min="263" max="263" width="11.75" style="384" customWidth="1"/>
    <col min="264" max="264" width="12" style="384" customWidth="1"/>
    <col min="265" max="265" width="14" style="384" customWidth="1"/>
    <col min="266" max="513" width="9" style="384"/>
    <col min="514" max="514" width="15.625" style="384" customWidth="1"/>
    <col min="515" max="515" width="55.75" style="384" customWidth="1"/>
    <col min="516" max="516" width="13.375" style="384" customWidth="1"/>
    <col min="517" max="517" width="13.875" style="384" customWidth="1"/>
    <col min="518" max="518" width="13.25" style="384" customWidth="1"/>
    <col min="519" max="519" width="11.75" style="384" customWidth="1"/>
    <col min="520" max="520" width="12" style="384" customWidth="1"/>
    <col min="521" max="521" width="14" style="384" customWidth="1"/>
    <col min="522" max="769" width="9" style="384"/>
    <col min="770" max="770" width="15.625" style="384" customWidth="1"/>
    <col min="771" max="771" width="55.75" style="384" customWidth="1"/>
    <col min="772" max="772" width="13.375" style="384" customWidth="1"/>
    <col min="773" max="773" width="13.875" style="384" customWidth="1"/>
    <col min="774" max="774" width="13.25" style="384" customWidth="1"/>
    <col min="775" max="775" width="11.75" style="384" customWidth="1"/>
    <col min="776" max="776" width="12" style="384" customWidth="1"/>
    <col min="777" max="777" width="14" style="384" customWidth="1"/>
    <col min="778" max="1025" width="9" style="384"/>
    <col min="1026" max="1026" width="15.625" style="384" customWidth="1"/>
    <col min="1027" max="1027" width="55.75" style="384" customWidth="1"/>
    <col min="1028" max="1028" width="13.375" style="384" customWidth="1"/>
    <col min="1029" max="1029" width="13.875" style="384" customWidth="1"/>
    <col min="1030" max="1030" width="13.25" style="384" customWidth="1"/>
    <col min="1031" max="1031" width="11.75" style="384" customWidth="1"/>
    <col min="1032" max="1032" width="12" style="384" customWidth="1"/>
    <col min="1033" max="1033" width="14" style="384" customWidth="1"/>
    <col min="1034" max="1281" width="9" style="384"/>
    <col min="1282" max="1282" width="15.625" style="384" customWidth="1"/>
    <col min="1283" max="1283" width="55.75" style="384" customWidth="1"/>
    <col min="1284" max="1284" width="13.375" style="384" customWidth="1"/>
    <col min="1285" max="1285" width="13.875" style="384" customWidth="1"/>
    <col min="1286" max="1286" width="13.25" style="384" customWidth="1"/>
    <col min="1287" max="1287" width="11.75" style="384" customWidth="1"/>
    <col min="1288" max="1288" width="12" style="384" customWidth="1"/>
    <col min="1289" max="1289" width="14" style="384" customWidth="1"/>
    <col min="1290" max="1537" width="9" style="384"/>
    <col min="1538" max="1538" width="15.625" style="384" customWidth="1"/>
    <col min="1539" max="1539" width="55.75" style="384" customWidth="1"/>
    <col min="1540" max="1540" width="13.375" style="384" customWidth="1"/>
    <col min="1541" max="1541" width="13.875" style="384" customWidth="1"/>
    <col min="1542" max="1542" width="13.25" style="384" customWidth="1"/>
    <col min="1543" max="1543" width="11.75" style="384" customWidth="1"/>
    <col min="1544" max="1544" width="12" style="384" customWidth="1"/>
    <col min="1545" max="1545" width="14" style="384" customWidth="1"/>
    <col min="1546" max="1793" width="9" style="384"/>
    <col min="1794" max="1794" width="15.625" style="384" customWidth="1"/>
    <col min="1795" max="1795" width="55.75" style="384" customWidth="1"/>
    <col min="1796" max="1796" width="13.375" style="384" customWidth="1"/>
    <col min="1797" max="1797" width="13.875" style="384" customWidth="1"/>
    <col min="1798" max="1798" width="13.25" style="384" customWidth="1"/>
    <col min="1799" max="1799" width="11.75" style="384" customWidth="1"/>
    <col min="1800" max="1800" width="12" style="384" customWidth="1"/>
    <col min="1801" max="1801" width="14" style="384" customWidth="1"/>
    <col min="1802" max="2049" width="9" style="384"/>
    <col min="2050" max="2050" width="15.625" style="384" customWidth="1"/>
    <col min="2051" max="2051" width="55.75" style="384" customWidth="1"/>
    <col min="2052" max="2052" width="13.375" style="384" customWidth="1"/>
    <col min="2053" max="2053" width="13.875" style="384" customWidth="1"/>
    <col min="2054" max="2054" width="13.25" style="384" customWidth="1"/>
    <col min="2055" max="2055" width="11.75" style="384" customWidth="1"/>
    <col min="2056" max="2056" width="12" style="384" customWidth="1"/>
    <col min="2057" max="2057" width="14" style="384" customWidth="1"/>
    <col min="2058" max="2305" width="9" style="384"/>
    <col min="2306" max="2306" width="15.625" style="384" customWidth="1"/>
    <col min="2307" max="2307" width="55.75" style="384" customWidth="1"/>
    <col min="2308" max="2308" width="13.375" style="384" customWidth="1"/>
    <col min="2309" max="2309" width="13.875" style="384" customWidth="1"/>
    <col min="2310" max="2310" width="13.25" style="384" customWidth="1"/>
    <col min="2311" max="2311" width="11.75" style="384" customWidth="1"/>
    <col min="2312" max="2312" width="12" style="384" customWidth="1"/>
    <col min="2313" max="2313" width="14" style="384" customWidth="1"/>
    <col min="2314" max="2561" width="9" style="384"/>
    <col min="2562" max="2562" width="15.625" style="384" customWidth="1"/>
    <col min="2563" max="2563" width="55.75" style="384" customWidth="1"/>
    <col min="2564" max="2564" width="13.375" style="384" customWidth="1"/>
    <col min="2565" max="2565" width="13.875" style="384" customWidth="1"/>
    <col min="2566" max="2566" width="13.25" style="384" customWidth="1"/>
    <col min="2567" max="2567" width="11.75" style="384" customWidth="1"/>
    <col min="2568" max="2568" width="12" style="384" customWidth="1"/>
    <col min="2569" max="2569" width="14" style="384" customWidth="1"/>
    <col min="2570" max="2817" width="9" style="384"/>
    <col min="2818" max="2818" width="15.625" style="384" customWidth="1"/>
    <col min="2819" max="2819" width="55.75" style="384" customWidth="1"/>
    <col min="2820" max="2820" width="13.375" style="384" customWidth="1"/>
    <col min="2821" max="2821" width="13.875" style="384" customWidth="1"/>
    <col min="2822" max="2822" width="13.25" style="384" customWidth="1"/>
    <col min="2823" max="2823" width="11.75" style="384" customWidth="1"/>
    <col min="2824" max="2824" width="12" style="384" customWidth="1"/>
    <col min="2825" max="2825" width="14" style="384" customWidth="1"/>
    <col min="2826" max="3073" width="9" style="384"/>
    <col min="3074" max="3074" width="15.625" style="384" customWidth="1"/>
    <col min="3075" max="3075" width="55.75" style="384" customWidth="1"/>
    <col min="3076" max="3076" width="13.375" style="384" customWidth="1"/>
    <col min="3077" max="3077" width="13.875" style="384" customWidth="1"/>
    <col min="3078" max="3078" width="13.25" style="384" customWidth="1"/>
    <col min="3079" max="3079" width="11.75" style="384" customWidth="1"/>
    <col min="3080" max="3080" width="12" style="384" customWidth="1"/>
    <col min="3081" max="3081" width="14" style="384" customWidth="1"/>
    <col min="3082" max="3329" width="9" style="384"/>
    <col min="3330" max="3330" width="15.625" style="384" customWidth="1"/>
    <col min="3331" max="3331" width="55.75" style="384" customWidth="1"/>
    <col min="3332" max="3332" width="13.375" style="384" customWidth="1"/>
    <col min="3333" max="3333" width="13.875" style="384" customWidth="1"/>
    <col min="3334" max="3334" width="13.25" style="384" customWidth="1"/>
    <col min="3335" max="3335" width="11.75" style="384" customWidth="1"/>
    <col min="3336" max="3336" width="12" style="384" customWidth="1"/>
    <col min="3337" max="3337" width="14" style="384" customWidth="1"/>
    <col min="3338" max="3585" width="9" style="384"/>
    <col min="3586" max="3586" width="15.625" style="384" customWidth="1"/>
    <col min="3587" max="3587" width="55.75" style="384" customWidth="1"/>
    <col min="3588" max="3588" width="13.375" style="384" customWidth="1"/>
    <col min="3589" max="3589" width="13.875" style="384" customWidth="1"/>
    <col min="3590" max="3590" width="13.25" style="384" customWidth="1"/>
    <col min="3591" max="3591" width="11.75" style="384" customWidth="1"/>
    <col min="3592" max="3592" width="12" style="384" customWidth="1"/>
    <col min="3593" max="3593" width="14" style="384" customWidth="1"/>
    <col min="3594" max="3841" width="9" style="384"/>
    <col min="3842" max="3842" width="15.625" style="384" customWidth="1"/>
    <col min="3843" max="3843" width="55.75" style="384" customWidth="1"/>
    <col min="3844" max="3844" width="13.375" style="384" customWidth="1"/>
    <col min="3845" max="3845" width="13.875" style="384" customWidth="1"/>
    <col min="3846" max="3846" width="13.25" style="384" customWidth="1"/>
    <col min="3847" max="3847" width="11.75" style="384" customWidth="1"/>
    <col min="3848" max="3848" width="12" style="384" customWidth="1"/>
    <col min="3849" max="3849" width="14" style="384" customWidth="1"/>
    <col min="3850" max="4097" width="9" style="384"/>
    <col min="4098" max="4098" width="15.625" style="384" customWidth="1"/>
    <col min="4099" max="4099" width="55.75" style="384" customWidth="1"/>
    <col min="4100" max="4100" width="13.375" style="384" customWidth="1"/>
    <col min="4101" max="4101" width="13.875" style="384" customWidth="1"/>
    <col min="4102" max="4102" width="13.25" style="384" customWidth="1"/>
    <col min="4103" max="4103" width="11.75" style="384" customWidth="1"/>
    <col min="4104" max="4104" width="12" style="384" customWidth="1"/>
    <col min="4105" max="4105" width="14" style="384" customWidth="1"/>
    <col min="4106" max="4353" width="9" style="384"/>
    <col min="4354" max="4354" width="15.625" style="384" customWidth="1"/>
    <col min="4355" max="4355" width="55.75" style="384" customWidth="1"/>
    <col min="4356" max="4356" width="13.375" style="384" customWidth="1"/>
    <col min="4357" max="4357" width="13.875" style="384" customWidth="1"/>
    <col min="4358" max="4358" width="13.25" style="384" customWidth="1"/>
    <col min="4359" max="4359" width="11.75" style="384" customWidth="1"/>
    <col min="4360" max="4360" width="12" style="384" customWidth="1"/>
    <col min="4361" max="4361" width="14" style="384" customWidth="1"/>
    <col min="4362" max="4609" width="9" style="384"/>
    <col min="4610" max="4610" width="15.625" style="384" customWidth="1"/>
    <col min="4611" max="4611" width="55.75" style="384" customWidth="1"/>
    <col min="4612" max="4612" width="13.375" style="384" customWidth="1"/>
    <col min="4613" max="4613" width="13.875" style="384" customWidth="1"/>
    <col min="4614" max="4614" width="13.25" style="384" customWidth="1"/>
    <col min="4615" max="4615" width="11.75" style="384" customWidth="1"/>
    <col min="4616" max="4616" width="12" style="384" customWidth="1"/>
    <col min="4617" max="4617" width="14" style="384" customWidth="1"/>
    <col min="4618" max="4865" width="9" style="384"/>
    <col min="4866" max="4866" width="15.625" style="384" customWidth="1"/>
    <col min="4867" max="4867" width="55.75" style="384" customWidth="1"/>
    <col min="4868" max="4868" width="13.375" style="384" customWidth="1"/>
    <col min="4869" max="4869" width="13.875" style="384" customWidth="1"/>
    <col min="4870" max="4870" width="13.25" style="384" customWidth="1"/>
    <col min="4871" max="4871" width="11.75" style="384" customWidth="1"/>
    <col min="4872" max="4872" width="12" style="384" customWidth="1"/>
    <col min="4873" max="4873" width="14" style="384" customWidth="1"/>
    <col min="4874" max="5121" width="9" style="384"/>
    <col min="5122" max="5122" width="15.625" style="384" customWidth="1"/>
    <col min="5123" max="5123" width="55.75" style="384" customWidth="1"/>
    <col min="5124" max="5124" width="13.375" style="384" customWidth="1"/>
    <col min="5125" max="5125" width="13.875" style="384" customWidth="1"/>
    <col min="5126" max="5126" width="13.25" style="384" customWidth="1"/>
    <col min="5127" max="5127" width="11.75" style="384" customWidth="1"/>
    <col min="5128" max="5128" width="12" style="384" customWidth="1"/>
    <col min="5129" max="5129" width="14" style="384" customWidth="1"/>
    <col min="5130" max="5377" width="9" style="384"/>
    <col min="5378" max="5378" width="15.625" style="384" customWidth="1"/>
    <col min="5379" max="5379" width="55.75" style="384" customWidth="1"/>
    <col min="5380" max="5380" width="13.375" style="384" customWidth="1"/>
    <col min="5381" max="5381" width="13.875" style="384" customWidth="1"/>
    <col min="5382" max="5382" width="13.25" style="384" customWidth="1"/>
    <col min="5383" max="5383" width="11.75" style="384" customWidth="1"/>
    <col min="5384" max="5384" width="12" style="384" customWidth="1"/>
    <col min="5385" max="5385" width="14" style="384" customWidth="1"/>
    <col min="5386" max="5633" width="9" style="384"/>
    <col min="5634" max="5634" width="15.625" style="384" customWidth="1"/>
    <col min="5635" max="5635" width="55.75" style="384" customWidth="1"/>
    <col min="5636" max="5636" width="13.375" style="384" customWidth="1"/>
    <col min="5637" max="5637" width="13.875" style="384" customWidth="1"/>
    <col min="5638" max="5638" width="13.25" style="384" customWidth="1"/>
    <col min="5639" max="5639" width="11.75" style="384" customWidth="1"/>
    <col min="5640" max="5640" width="12" style="384" customWidth="1"/>
    <col min="5641" max="5641" width="14" style="384" customWidth="1"/>
    <col min="5642" max="5889" width="9" style="384"/>
    <col min="5890" max="5890" width="15.625" style="384" customWidth="1"/>
    <col min="5891" max="5891" width="55.75" style="384" customWidth="1"/>
    <col min="5892" max="5892" width="13.375" style="384" customWidth="1"/>
    <col min="5893" max="5893" width="13.875" style="384" customWidth="1"/>
    <col min="5894" max="5894" width="13.25" style="384" customWidth="1"/>
    <col min="5895" max="5895" width="11.75" style="384" customWidth="1"/>
    <col min="5896" max="5896" width="12" style="384" customWidth="1"/>
    <col min="5897" max="5897" width="14" style="384" customWidth="1"/>
    <col min="5898" max="6145" width="9" style="384"/>
    <col min="6146" max="6146" width="15.625" style="384" customWidth="1"/>
    <col min="6147" max="6147" width="55.75" style="384" customWidth="1"/>
    <col min="6148" max="6148" width="13.375" style="384" customWidth="1"/>
    <col min="6149" max="6149" width="13.875" style="384" customWidth="1"/>
    <col min="6150" max="6150" width="13.25" style="384" customWidth="1"/>
    <col min="6151" max="6151" width="11.75" style="384" customWidth="1"/>
    <col min="6152" max="6152" width="12" style="384" customWidth="1"/>
    <col min="6153" max="6153" width="14" style="384" customWidth="1"/>
    <col min="6154" max="6401" width="9" style="384"/>
    <col min="6402" max="6402" width="15.625" style="384" customWidth="1"/>
    <col min="6403" max="6403" width="55.75" style="384" customWidth="1"/>
    <col min="6404" max="6404" width="13.375" style="384" customWidth="1"/>
    <col min="6405" max="6405" width="13.875" style="384" customWidth="1"/>
    <col min="6406" max="6406" width="13.25" style="384" customWidth="1"/>
    <col min="6407" max="6407" width="11.75" style="384" customWidth="1"/>
    <col min="6408" max="6408" width="12" style="384" customWidth="1"/>
    <col min="6409" max="6409" width="14" style="384" customWidth="1"/>
    <col min="6410" max="6657" width="9" style="384"/>
    <col min="6658" max="6658" width="15.625" style="384" customWidth="1"/>
    <col min="6659" max="6659" width="55.75" style="384" customWidth="1"/>
    <col min="6660" max="6660" width="13.375" style="384" customWidth="1"/>
    <col min="6661" max="6661" width="13.875" style="384" customWidth="1"/>
    <col min="6662" max="6662" width="13.25" style="384" customWidth="1"/>
    <col min="6663" max="6663" width="11.75" style="384" customWidth="1"/>
    <col min="6664" max="6664" width="12" style="384" customWidth="1"/>
    <col min="6665" max="6665" width="14" style="384" customWidth="1"/>
    <col min="6666" max="6913" width="9" style="384"/>
    <col min="6914" max="6914" width="15.625" style="384" customWidth="1"/>
    <col min="6915" max="6915" width="55.75" style="384" customWidth="1"/>
    <col min="6916" max="6916" width="13.375" style="384" customWidth="1"/>
    <col min="6917" max="6917" width="13.875" style="384" customWidth="1"/>
    <col min="6918" max="6918" width="13.25" style="384" customWidth="1"/>
    <col min="6919" max="6919" width="11.75" style="384" customWidth="1"/>
    <col min="6920" max="6920" width="12" style="384" customWidth="1"/>
    <col min="6921" max="6921" width="14" style="384" customWidth="1"/>
    <col min="6922" max="7169" width="9" style="384"/>
    <col min="7170" max="7170" width="15.625" style="384" customWidth="1"/>
    <col min="7171" max="7171" width="55.75" style="384" customWidth="1"/>
    <col min="7172" max="7172" width="13.375" style="384" customWidth="1"/>
    <col min="7173" max="7173" width="13.875" style="384" customWidth="1"/>
    <col min="7174" max="7174" width="13.25" style="384" customWidth="1"/>
    <col min="7175" max="7175" width="11.75" style="384" customWidth="1"/>
    <col min="7176" max="7176" width="12" style="384" customWidth="1"/>
    <col min="7177" max="7177" width="14" style="384" customWidth="1"/>
    <col min="7178" max="7425" width="9" style="384"/>
    <col min="7426" max="7426" width="15.625" style="384" customWidth="1"/>
    <col min="7427" max="7427" width="55.75" style="384" customWidth="1"/>
    <col min="7428" max="7428" width="13.375" style="384" customWidth="1"/>
    <col min="7429" max="7429" width="13.875" style="384" customWidth="1"/>
    <col min="7430" max="7430" width="13.25" style="384" customWidth="1"/>
    <col min="7431" max="7431" width="11.75" style="384" customWidth="1"/>
    <col min="7432" max="7432" width="12" style="384" customWidth="1"/>
    <col min="7433" max="7433" width="14" style="384" customWidth="1"/>
    <col min="7434" max="7681" width="9" style="384"/>
    <col min="7682" max="7682" width="15.625" style="384" customWidth="1"/>
    <col min="7683" max="7683" width="55.75" style="384" customWidth="1"/>
    <col min="7684" max="7684" width="13.375" style="384" customWidth="1"/>
    <col min="7685" max="7685" width="13.875" style="384" customWidth="1"/>
    <col min="7686" max="7686" width="13.25" style="384" customWidth="1"/>
    <col min="7687" max="7687" width="11.75" style="384" customWidth="1"/>
    <col min="7688" max="7688" width="12" style="384" customWidth="1"/>
    <col min="7689" max="7689" width="14" style="384" customWidth="1"/>
    <col min="7690" max="7937" width="9" style="384"/>
    <col min="7938" max="7938" width="15.625" style="384" customWidth="1"/>
    <col min="7939" max="7939" width="55.75" style="384" customWidth="1"/>
    <col min="7940" max="7940" width="13.375" style="384" customWidth="1"/>
    <col min="7941" max="7941" width="13.875" style="384" customWidth="1"/>
    <col min="7942" max="7942" width="13.25" style="384" customWidth="1"/>
    <col min="7943" max="7943" width="11.75" style="384" customWidth="1"/>
    <col min="7944" max="7944" width="12" style="384" customWidth="1"/>
    <col min="7945" max="7945" width="14" style="384" customWidth="1"/>
    <col min="7946" max="8193" width="9" style="384"/>
    <col min="8194" max="8194" width="15.625" style="384" customWidth="1"/>
    <col min="8195" max="8195" width="55.75" style="384" customWidth="1"/>
    <col min="8196" max="8196" width="13.375" style="384" customWidth="1"/>
    <col min="8197" max="8197" width="13.875" style="384" customWidth="1"/>
    <col min="8198" max="8198" width="13.25" style="384" customWidth="1"/>
    <col min="8199" max="8199" width="11.75" style="384" customWidth="1"/>
    <col min="8200" max="8200" width="12" style="384" customWidth="1"/>
    <col min="8201" max="8201" width="14" style="384" customWidth="1"/>
    <col min="8202" max="8449" width="9" style="384"/>
    <col min="8450" max="8450" width="15.625" style="384" customWidth="1"/>
    <col min="8451" max="8451" width="55.75" style="384" customWidth="1"/>
    <col min="8452" max="8452" width="13.375" style="384" customWidth="1"/>
    <col min="8453" max="8453" width="13.875" style="384" customWidth="1"/>
    <col min="8454" max="8454" width="13.25" style="384" customWidth="1"/>
    <col min="8455" max="8455" width="11.75" style="384" customWidth="1"/>
    <col min="8456" max="8456" width="12" style="384" customWidth="1"/>
    <col min="8457" max="8457" width="14" style="384" customWidth="1"/>
    <col min="8458" max="8705" width="9" style="384"/>
    <col min="8706" max="8706" width="15.625" style="384" customWidth="1"/>
    <col min="8707" max="8707" width="55.75" style="384" customWidth="1"/>
    <col min="8708" max="8708" width="13.375" style="384" customWidth="1"/>
    <col min="8709" max="8709" width="13.875" style="384" customWidth="1"/>
    <col min="8710" max="8710" width="13.25" style="384" customWidth="1"/>
    <col min="8711" max="8711" width="11.75" style="384" customWidth="1"/>
    <col min="8712" max="8712" width="12" style="384" customWidth="1"/>
    <col min="8713" max="8713" width="14" style="384" customWidth="1"/>
    <col min="8714" max="8961" width="9" style="384"/>
    <col min="8962" max="8962" width="15.625" style="384" customWidth="1"/>
    <col min="8963" max="8963" width="55.75" style="384" customWidth="1"/>
    <col min="8964" max="8964" width="13.375" style="384" customWidth="1"/>
    <col min="8965" max="8965" width="13.875" style="384" customWidth="1"/>
    <col min="8966" max="8966" width="13.25" style="384" customWidth="1"/>
    <col min="8967" max="8967" width="11.75" style="384" customWidth="1"/>
    <col min="8968" max="8968" width="12" style="384" customWidth="1"/>
    <col min="8969" max="8969" width="14" style="384" customWidth="1"/>
    <col min="8970" max="9217" width="9" style="384"/>
    <col min="9218" max="9218" width="15.625" style="384" customWidth="1"/>
    <col min="9219" max="9219" width="55.75" style="384" customWidth="1"/>
    <col min="9220" max="9220" width="13.375" style="384" customWidth="1"/>
    <col min="9221" max="9221" width="13.875" style="384" customWidth="1"/>
    <col min="9222" max="9222" width="13.25" style="384" customWidth="1"/>
    <col min="9223" max="9223" width="11.75" style="384" customWidth="1"/>
    <col min="9224" max="9224" width="12" style="384" customWidth="1"/>
    <col min="9225" max="9225" width="14" style="384" customWidth="1"/>
    <col min="9226" max="9473" width="9" style="384"/>
    <col min="9474" max="9474" width="15.625" style="384" customWidth="1"/>
    <col min="9475" max="9475" width="55.75" style="384" customWidth="1"/>
    <col min="9476" max="9476" width="13.375" style="384" customWidth="1"/>
    <col min="9477" max="9477" width="13.875" style="384" customWidth="1"/>
    <col min="9478" max="9478" width="13.25" style="384" customWidth="1"/>
    <col min="9479" max="9479" width="11.75" style="384" customWidth="1"/>
    <col min="9480" max="9480" width="12" style="384" customWidth="1"/>
    <col min="9481" max="9481" width="14" style="384" customWidth="1"/>
    <col min="9482" max="9729" width="9" style="384"/>
    <col min="9730" max="9730" width="15.625" style="384" customWidth="1"/>
    <col min="9731" max="9731" width="55.75" style="384" customWidth="1"/>
    <col min="9732" max="9732" width="13.375" style="384" customWidth="1"/>
    <col min="9733" max="9733" width="13.875" style="384" customWidth="1"/>
    <col min="9734" max="9734" width="13.25" style="384" customWidth="1"/>
    <col min="9735" max="9735" width="11.75" style="384" customWidth="1"/>
    <col min="9736" max="9736" width="12" style="384" customWidth="1"/>
    <col min="9737" max="9737" width="14" style="384" customWidth="1"/>
    <col min="9738" max="9985" width="9" style="384"/>
    <col min="9986" max="9986" width="15.625" style="384" customWidth="1"/>
    <col min="9987" max="9987" width="55.75" style="384" customWidth="1"/>
    <col min="9988" max="9988" width="13.375" style="384" customWidth="1"/>
    <col min="9989" max="9989" width="13.875" style="384" customWidth="1"/>
    <col min="9990" max="9990" width="13.25" style="384" customWidth="1"/>
    <col min="9991" max="9991" width="11.75" style="384" customWidth="1"/>
    <col min="9992" max="9992" width="12" style="384" customWidth="1"/>
    <col min="9993" max="9993" width="14" style="384" customWidth="1"/>
    <col min="9994" max="10241" width="9" style="384"/>
    <col min="10242" max="10242" width="15.625" style="384" customWidth="1"/>
    <col min="10243" max="10243" width="55.75" style="384" customWidth="1"/>
    <col min="10244" max="10244" width="13.375" style="384" customWidth="1"/>
    <col min="10245" max="10245" width="13.875" style="384" customWidth="1"/>
    <col min="10246" max="10246" width="13.25" style="384" customWidth="1"/>
    <col min="10247" max="10247" width="11.75" style="384" customWidth="1"/>
    <col min="10248" max="10248" width="12" style="384" customWidth="1"/>
    <col min="10249" max="10249" width="14" style="384" customWidth="1"/>
    <col min="10250" max="10497" width="9" style="384"/>
    <col min="10498" max="10498" width="15.625" style="384" customWidth="1"/>
    <col min="10499" max="10499" width="55.75" style="384" customWidth="1"/>
    <col min="10500" max="10500" width="13.375" style="384" customWidth="1"/>
    <col min="10501" max="10501" width="13.875" style="384" customWidth="1"/>
    <col min="10502" max="10502" width="13.25" style="384" customWidth="1"/>
    <col min="10503" max="10503" width="11.75" style="384" customWidth="1"/>
    <col min="10504" max="10504" width="12" style="384" customWidth="1"/>
    <col min="10505" max="10505" width="14" style="384" customWidth="1"/>
    <col min="10506" max="10753" width="9" style="384"/>
    <col min="10754" max="10754" width="15.625" style="384" customWidth="1"/>
    <col min="10755" max="10755" width="55.75" style="384" customWidth="1"/>
    <col min="10756" max="10756" width="13.375" style="384" customWidth="1"/>
    <col min="10757" max="10757" width="13.875" style="384" customWidth="1"/>
    <col min="10758" max="10758" width="13.25" style="384" customWidth="1"/>
    <col min="10759" max="10759" width="11.75" style="384" customWidth="1"/>
    <col min="10760" max="10760" width="12" style="384" customWidth="1"/>
    <col min="10761" max="10761" width="14" style="384" customWidth="1"/>
    <col min="10762" max="11009" width="9" style="384"/>
    <col min="11010" max="11010" width="15.625" style="384" customWidth="1"/>
    <col min="11011" max="11011" width="55.75" style="384" customWidth="1"/>
    <col min="11012" max="11012" width="13.375" style="384" customWidth="1"/>
    <col min="11013" max="11013" width="13.875" style="384" customWidth="1"/>
    <col min="11014" max="11014" width="13.25" style="384" customWidth="1"/>
    <col min="11015" max="11015" width="11.75" style="384" customWidth="1"/>
    <col min="11016" max="11016" width="12" style="384" customWidth="1"/>
    <col min="11017" max="11017" width="14" style="384" customWidth="1"/>
    <col min="11018" max="11265" width="9" style="384"/>
    <col min="11266" max="11266" width="15.625" style="384" customWidth="1"/>
    <col min="11267" max="11267" width="55.75" style="384" customWidth="1"/>
    <col min="11268" max="11268" width="13.375" style="384" customWidth="1"/>
    <col min="11269" max="11269" width="13.875" style="384" customWidth="1"/>
    <col min="11270" max="11270" width="13.25" style="384" customWidth="1"/>
    <col min="11271" max="11271" width="11.75" style="384" customWidth="1"/>
    <col min="11272" max="11272" width="12" style="384" customWidth="1"/>
    <col min="11273" max="11273" width="14" style="384" customWidth="1"/>
    <col min="11274" max="11521" width="9" style="384"/>
    <col min="11522" max="11522" width="15.625" style="384" customWidth="1"/>
    <col min="11523" max="11523" width="55.75" style="384" customWidth="1"/>
    <col min="11524" max="11524" width="13.375" style="384" customWidth="1"/>
    <col min="11525" max="11525" width="13.875" style="384" customWidth="1"/>
    <col min="11526" max="11526" width="13.25" style="384" customWidth="1"/>
    <col min="11527" max="11527" width="11.75" style="384" customWidth="1"/>
    <col min="11528" max="11528" width="12" style="384" customWidth="1"/>
    <col min="11529" max="11529" width="14" style="384" customWidth="1"/>
    <col min="11530" max="11777" width="9" style="384"/>
    <col min="11778" max="11778" width="15.625" style="384" customWidth="1"/>
    <col min="11779" max="11779" width="55.75" style="384" customWidth="1"/>
    <col min="11780" max="11780" width="13.375" style="384" customWidth="1"/>
    <col min="11781" max="11781" width="13.875" style="384" customWidth="1"/>
    <col min="11782" max="11782" width="13.25" style="384" customWidth="1"/>
    <col min="11783" max="11783" width="11.75" style="384" customWidth="1"/>
    <col min="11784" max="11784" width="12" style="384" customWidth="1"/>
    <col min="11785" max="11785" width="14" style="384" customWidth="1"/>
    <col min="11786" max="12033" width="9" style="384"/>
    <col min="12034" max="12034" width="15.625" style="384" customWidth="1"/>
    <col min="12035" max="12035" width="55.75" style="384" customWidth="1"/>
    <col min="12036" max="12036" width="13.375" style="384" customWidth="1"/>
    <col min="12037" max="12037" width="13.875" style="384" customWidth="1"/>
    <col min="12038" max="12038" width="13.25" style="384" customWidth="1"/>
    <col min="12039" max="12039" width="11.75" style="384" customWidth="1"/>
    <col min="12040" max="12040" width="12" style="384" customWidth="1"/>
    <col min="12041" max="12041" width="14" style="384" customWidth="1"/>
    <col min="12042" max="12289" width="9" style="384"/>
    <col min="12290" max="12290" width="15.625" style="384" customWidth="1"/>
    <col min="12291" max="12291" width="55.75" style="384" customWidth="1"/>
    <col min="12292" max="12292" width="13.375" style="384" customWidth="1"/>
    <col min="12293" max="12293" width="13.875" style="384" customWidth="1"/>
    <col min="12294" max="12294" width="13.25" style="384" customWidth="1"/>
    <col min="12295" max="12295" width="11.75" style="384" customWidth="1"/>
    <col min="12296" max="12296" width="12" style="384" customWidth="1"/>
    <col min="12297" max="12297" width="14" style="384" customWidth="1"/>
    <col min="12298" max="12545" width="9" style="384"/>
    <col min="12546" max="12546" width="15.625" style="384" customWidth="1"/>
    <col min="12547" max="12547" width="55.75" style="384" customWidth="1"/>
    <col min="12548" max="12548" width="13.375" style="384" customWidth="1"/>
    <col min="12549" max="12549" width="13.875" style="384" customWidth="1"/>
    <col min="12550" max="12550" width="13.25" style="384" customWidth="1"/>
    <col min="12551" max="12551" width="11.75" style="384" customWidth="1"/>
    <col min="12552" max="12552" width="12" style="384" customWidth="1"/>
    <col min="12553" max="12553" width="14" style="384" customWidth="1"/>
    <col min="12554" max="12801" width="9" style="384"/>
    <col min="12802" max="12802" width="15.625" style="384" customWidth="1"/>
    <col min="12803" max="12803" width="55.75" style="384" customWidth="1"/>
    <col min="12804" max="12804" width="13.375" style="384" customWidth="1"/>
    <col min="12805" max="12805" width="13.875" style="384" customWidth="1"/>
    <col min="12806" max="12806" width="13.25" style="384" customWidth="1"/>
    <col min="12807" max="12807" width="11.75" style="384" customWidth="1"/>
    <col min="12808" max="12808" width="12" style="384" customWidth="1"/>
    <col min="12809" max="12809" width="14" style="384" customWidth="1"/>
    <col min="12810" max="13057" width="9" style="384"/>
    <col min="13058" max="13058" width="15.625" style="384" customWidth="1"/>
    <col min="13059" max="13059" width="55.75" style="384" customWidth="1"/>
    <col min="13060" max="13060" width="13.375" style="384" customWidth="1"/>
    <col min="13061" max="13061" width="13.875" style="384" customWidth="1"/>
    <col min="13062" max="13062" width="13.25" style="384" customWidth="1"/>
    <col min="13063" max="13063" width="11.75" style="384" customWidth="1"/>
    <col min="13064" max="13064" width="12" style="384" customWidth="1"/>
    <col min="13065" max="13065" width="14" style="384" customWidth="1"/>
    <col min="13066" max="13313" width="9" style="384"/>
    <col min="13314" max="13314" width="15.625" style="384" customWidth="1"/>
    <col min="13315" max="13315" width="55.75" style="384" customWidth="1"/>
    <col min="13316" max="13316" width="13.375" style="384" customWidth="1"/>
    <col min="13317" max="13317" width="13.875" style="384" customWidth="1"/>
    <col min="13318" max="13318" width="13.25" style="384" customWidth="1"/>
    <col min="13319" max="13319" width="11.75" style="384" customWidth="1"/>
    <col min="13320" max="13320" width="12" style="384" customWidth="1"/>
    <col min="13321" max="13321" width="14" style="384" customWidth="1"/>
    <col min="13322" max="13569" width="9" style="384"/>
    <col min="13570" max="13570" width="15.625" style="384" customWidth="1"/>
    <col min="13571" max="13571" width="55.75" style="384" customWidth="1"/>
    <col min="13572" max="13572" width="13.375" style="384" customWidth="1"/>
    <col min="13573" max="13573" width="13.875" style="384" customWidth="1"/>
    <col min="13574" max="13574" width="13.25" style="384" customWidth="1"/>
    <col min="13575" max="13575" width="11.75" style="384" customWidth="1"/>
    <col min="13576" max="13576" width="12" style="384" customWidth="1"/>
    <col min="13577" max="13577" width="14" style="384" customWidth="1"/>
    <col min="13578" max="13825" width="9" style="384"/>
    <col min="13826" max="13826" width="15.625" style="384" customWidth="1"/>
    <col min="13827" max="13827" width="55.75" style="384" customWidth="1"/>
    <col min="13828" max="13828" width="13.375" style="384" customWidth="1"/>
    <col min="13829" max="13829" width="13.875" style="384" customWidth="1"/>
    <col min="13830" max="13830" width="13.25" style="384" customWidth="1"/>
    <col min="13831" max="13831" width="11.75" style="384" customWidth="1"/>
    <col min="13832" max="13832" width="12" style="384" customWidth="1"/>
    <col min="13833" max="13833" width="14" style="384" customWidth="1"/>
    <col min="13834" max="14081" width="9" style="384"/>
    <col min="14082" max="14082" width="15.625" style="384" customWidth="1"/>
    <col min="14083" max="14083" width="55.75" style="384" customWidth="1"/>
    <col min="14084" max="14084" width="13.375" style="384" customWidth="1"/>
    <col min="14085" max="14085" width="13.875" style="384" customWidth="1"/>
    <col min="14086" max="14086" width="13.25" style="384" customWidth="1"/>
    <col min="14087" max="14087" width="11.75" style="384" customWidth="1"/>
    <col min="14088" max="14088" width="12" style="384" customWidth="1"/>
    <col min="14089" max="14089" width="14" style="384" customWidth="1"/>
    <col min="14090" max="14337" width="9" style="384"/>
    <col min="14338" max="14338" width="15.625" style="384" customWidth="1"/>
    <col min="14339" max="14339" width="55.75" style="384" customWidth="1"/>
    <col min="14340" max="14340" width="13.375" style="384" customWidth="1"/>
    <col min="14341" max="14341" width="13.875" style="384" customWidth="1"/>
    <col min="14342" max="14342" width="13.25" style="384" customWidth="1"/>
    <col min="14343" max="14343" width="11.75" style="384" customWidth="1"/>
    <col min="14344" max="14344" width="12" style="384" customWidth="1"/>
    <col min="14345" max="14345" width="14" style="384" customWidth="1"/>
    <col min="14346" max="14593" width="9" style="384"/>
    <col min="14594" max="14594" width="15.625" style="384" customWidth="1"/>
    <col min="14595" max="14595" width="55.75" style="384" customWidth="1"/>
    <col min="14596" max="14596" width="13.375" style="384" customWidth="1"/>
    <col min="14597" max="14597" width="13.875" style="384" customWidth="1"/>
    <col min="14598" max="14598" width="13.25" style="384" customWidth="1"/>
    <col min="14599" max="14599" width="11.75" style="384" customWidth="1"/>
    <col min="14600" max="14600" width="12" style="384" customWidth="1"/>
    <col min="14601" max="14601" width="14" style="384" customWidth="1"/>
    <col min="14602" max="14849" width="9" style="384"/>
    <col min="14850" max="14850" width="15.625" style="384" customWidth="1"/>
    <col min="14851" max="14851" width="55.75" style="384" customWidth="1"/>
    <col min="14852" max="14852" width="13.375" style="384" customWidth="1"/>
    <col min="14853" max="14853" width="13.875" style="384" customWidth="1"/>
    <col min="14854" max="14854" width="13.25" style="384" customWidth="1"/>
    <col min="14855" max="14855" width="11.75" style="384" customWidth="1"/>
    <col min="14856" max="14856" width="12" style="384" customWidth="1"/>
    <col min="14857" max="14857" width="14" style="384" customWidth="1"/>
    <col min="14858" max="15105" width="9" style="384"/>
    <col min="15106" max="15106" width="15.625" style="384" customWidth="1"/>
    <col min="15107" max="15107" width="55.75" style="384" customWidth="1"/>
    <col min="15108" max="15108" width="13.375" style="384" customWidth="1"/>
    <col min="15109" max="15109" width="13.875" style="384" customWidth="1"/>
    <col min="15110" max="15110" width="13.25" style="384" customWidth="1"/>
    <col min="15111" max="15111" width="11.75" style="384" customWidth="1"/>
    <col min="15112" max="15112" width="12" style="384" customWidth="1"/>
    <col min="15113" max="15113" width="14" style="384" customWidth="1"/>
    <col min="15114" max="15361" width="9" style="384"/>
    <col min="15362" max="15362" width="15.625" style="384" customWidth="1"/>
    <col min="15363" max="15363" width="55.75" style="384" customWidth="1"/>
    <col min="15364" max="15364" width="13.375" style="384" customWidth="1"/>
    <col min="15365" max="15365" width="13.875" style="384" customWidth="1"/>
    <col min="15366" max="15366" width="13.25" style="384" customWidth="1"/>
    <col min="15367" max="15367" width="11.75" style="384" customWidth="1"/>
    <col min="15368" max="15368" width="12" style="384" customWidth="1"/>
    <col min="15369" max="15369" width="14" style="384" customWidth="1"/>
    <col min="15370" max="15617" width="9" style="384"/>
    <col min="15618" max="15618" width="15.625" style="384" customWidth="1"/>
    <col min="15619" max="15619" width="55.75" style="384" customWidth="1"/>
    <col min="15620" max="15620" width="13.375" style="384" customWidth="1"/>
    <col min="15621" max="15621" width="13.875" style="384" customWidth="1"/>
    <col min="15622" max="15622" width="13.25" style="384" customWidth="1"/>
    <col min="15623" max="15623" width="11.75" style="384" customWidth="1"/>
    <col min="15624" max="15624" width="12" style="384" customWidth="1"/>
    <col min="15625" max="15625" width="14" style="384" customWidth="1"/>
    <col min="15626" max="15873" width="9" style="384"/>
    <col min="15874" max="15874" width="15.625" style="384" customWidth="1"/>
    <col min="15875" max="15875" width="55.75" style="384" customWidth="1"/>
    <col min="15876" max="15876" width="13.375" style="384" customWidth="1"/>
    <col min="15877" max="15877" width="13.875" style="384" customWidth="1"/>
    <col min="15878" max="15878" width="13.25" style="384" customWidth="1"/>
    <col min="15879" max="15879" width="11.75" style="384" customWidth="1"/>
    <col min="15880" max="15880" width="12" style="384" customWidth="1"/>
    <col min="15881" max="15881" width="14" style="384" customWidth="1"/>
    <col min="15882" max="16129" width="9" style="384"/>
    <col min="16130" max="16130" width="15.625" style="384" customWidth="1"/>
    <col min="16131" max="16131" width="55.75" style="384" customWidth="1"/>
    <col min="16132" max="16132" width="13.375" style="384" customWidth="1"/>
    <col min="16133" max="16133" width="13.875" style="384" customWidth="1"/>
    <col min="16134" max="16134" width="13.25" style="384" customWidth="1"/>
    <col min="16135" max="16135" width="11.75" style="384" customWidth="1"/>
    <col min="16136" max="16136" width="12" style="384" customWidth="1"/>
    <col min="16137" max="16137" width="14" style="384" customWidth="1"/>
    <col min="16138" max="16384" width="9" style="384"/>
  </cols>
  <sheetData>
    <row r="3" spans="1:8" ht="18">
      <c r="A3" s="759" t="s">
        <v>150</v>
      </c>
      <c r="B3" s="759"/>
      <c r="C3" s="759"/>
      <c r="D3" s="759"/>
      <c r="E3" s="760"/>
      <c r="F3" s="760"/>
      <c r="G3" s="760"/>
      <c r="H3" s="760"/>
    </row>
    <row r="4" spans="1:8" ht="18">
      <c r="A4" s="759" t="s">
        <v>23</v>
      </c>
      <c r="B4" s="759"/>
      <c r="C4" s="759"/>
      <c r="D4" s="759"/>
      <c r="E4" s="760"/>
      <c r="F4" s="760"/>
      <c r="G4" s="760"/>
      <c r="H4" s="760"/>
    </row>
    <row r="5" spans="1:8" ht="18">
      <c r="A5" s="759" t="s">
        <v>916</v>
      </c>
      <c r="B5" s="759"/>
      <c r="C5" s="759"/>
      <c r="D5" s="759"/>
      <c r="E5" s="760"/>
      <c r="F5" s="760"/>
      <c r="G5" s="760"/>
      <c r="H5" s="760"/>
    </row>
    <row r="6" spans="1:8" ht="18.75" customHeight="1">
      <c r="A6" s="45"/>
      <c r="B6" s="45"/>
      <c r="C6" s="45"/>
      <c r="D6" s="45"/>
      <c r="E6" s="45"/>
      <c r="F6" s="45"/>
      <c r="G6" s="385"/>
      <c r="H6" s="45"/>
    </row>
    <row r="7" spans="1:8" ht="24.75">
      <c r="A7" s="46" t="s">
        <v>1097</v>
      </c>
      <c r="B7" s="386"/>
      <c r="C7" s="386"/>
      <c r="D7" s="45"/>
      <c r="E7" s="45"/>
      <c r="F7" s="45"/>
      <c r="G7" s="385"/>
      <c r="H7" s="45"/>
    </row>
    <row r="8" spans="1:8" ht="24.75">
      <c r="A8" s="46" t="s">
        <v>913</v>
      </c>
      <c r="B8" s="386"/>
      <c r="C8" s="386"/>
      <c r="D8" s="45"/>
      <c r="E8" s="45"/>
      <c r="F8" s="45"/>
      <c r="G8" s="385"/>
      <c r="H8" s="45"/>
    </row>
    <row r="9" spans="1:8" ht="32.25" customHeight="1">
      <c r="A9" s="761" t="s">
        <v>50</v>
      </c>
      <c r="B9" s="761" t="s">
        <v>51</v>
      </c>
      <c r="C9" s="761" t="s">
        <v>41</v>
      </c>
      <c r="D9" s="762" t="s">
        <v>238</v>
      </c>
      <c r="E9" s="758" t="s">
        <v>60</v>
      </c>
      <c r="F9" s="758" t="s">
        <v>61</v>
      </c>
      <c r="G9" s="758" t="s">
        <v>62</v>
      </c>
      <c r="H9" s="758" t="s">
        <v>63</v>
      </c>
    </row>
    <row r="10" spans="1:8" ht="32.25" customHeight="1">
      <c r="A10" s="761"/>
      <c r="B10" s="761"/>
      <c r="C10" s="761"/>
      <c r="D10" s="763"/>
      <c r="E10" s="758"/>
      <c r="F10" s="758"/>
      <c r="G10" s="758"/>
      <c r="H10" s="758"/>
    </row>
    <row r="11" spans="1:8" ht="18">
      <c r="A11" s="387" t="s">
        <v>77</v>
      </c>
      <c r="B11" s="387" t="s">
        <v>808</v>
      </c>
      <c r="C11" s="388" t="s">
        <v>932</v>
      </c>
      <c r="D11" s="389">
        <v>84200</v>
      </c>
      <c r="E11" s="390">
        <v>84200</v>
      </c>
      <c r="F11" s="391">
        <v>84200</v>
      </c>
      <c r="G11" s="389">
        <f>D11-F11</f>
        <v>0</v>
      </c>
      <c r="H11" s="389"/>
    </row>
    <row r="12" spans="1:8" ht="18">
      <c r="A12" s="387" t="s">
        <v>77</v>
      </c>
      <c r="B12" s="387" t="s">
        <v>808</v>
      </c>
      <c r="C12" s="388" t="s">
        <v>933</v>
      </c>
      <c r="D12" s="389">
        <v>73800</v>
      </c>
      <c r="E12" s="390">
        <v>73800</v>
      </c>
      <c r="F12" s="391">
        <v>73800</v>
      </c>
      <c r="G12" s="389">
        <f t="shared" ref="G12:G75" si="0">D12-F12</f>
        <v>0</v>
      </c>
      <c r="H12" s="389"/>
    </row>
    <row r="13" spans="1:8" ht="18">
      <c r="A13" s="387" t="s">
        <v>77</v>
      </c>
      <c r="B13" s="387" t="s">
        <v>808</v>
      </c>
      <c r="C13" s="388" t="s">
        <v>934</v>
      </c>
      <c r="D13" s="389">
        <v>19600</v>
      </c>
      <c r="E13" s="390">
        <v>19600</v>
      </c>
      <c r="F13" s="391">
        <v>19600</v>
      </c>
      <c r="G13" s="389">
        <f t="shared" si="0"/>
        <v>0</v>
      </c>
      <c r="H13" s="389"/>
    </row>
    <row r="14" spans="1:8" ht="18">
      <c r="A14" s="387" t="s">
        <v>77</v>
      </c>
      <c r="B14" s="387" t="s">
        <v>808</v>
      </c>
      <c r="C14" s="388" t="s">
        <v>935</v>
      </c>
      <c r="D14" s="389">
        <v>36900</v>
      </c>
      <c r="E14" s="390">
        <v>36900</v>
      </c>
      <c r="F14" s="391">
        <v>36900</v>
      </c>
      <c r="G14" s="389">
        <f t="shared" si="0"/>
        <v>0</v>
      </c>
      <c r="H14" s="389"/>
    </row>
    <row r="15" spans="1:8" ht="18">
      <c r="A15" s="387" t="s">
        <v>77</v>
      </c>
      <c r="B15" s="387" t="s">
        <v>808</v>
      </c>
      <c r="C15" s="388" t="s">
        <v>936</v>
      </c>
      <c r="D15" s="389">
        <v>36900</v>
      </c>
      <c r="E15" s="390">
        <v>36900</v>
      </c>
      <c r="F15" s="391">
        <v>36900</v>
      </c>
      <c r="G15" s="389">
        <f t="shared" si="0"/>
        <v>0</v>
      </c>
      <c r="H15" s="389"/>
    </row>
    <row r="16" spans="1:8" ht="18">
      <c r="A16" s="387" t="s">
        <v>77</v>
      </c>
      <c r="B16" s="387" t="s">
        <v>808</v>
      </c>
      <c r="C16" s="388" t="s">
        <v>937</v>
      </c>
      <c r="D16" s="389">
        <v>18400</v>
      </c>
      <c r="E16" s="390">
        <v>18400</v>
      </c>
      <c r="F16" s="391">
        <v>18400</v>
      </c>
      <c r="G16" s="389">
        <f t="shared" si="0"/>
        <v>0</v>
      </c>
      <c r="H16" s="389"/>
    </row>
    <row r="17" spans="1:8" ht="18">
      <c r="A17" s="387" t="s">
        <v>77</v>
      </c>
      <c r="B17" s="387" t="s">
        <v>808</v>
      </c>
      <c r="C17" s="388" t="s">
        <v>938</v>
      </c>
      <c r="D17" s="389">
        <v>18400</v>
      </c>
      <c r="E17" s="390">
        <v>18400</v>
      </c>
      <c r="F17" s="391">
        <v>18400</v>
      </c>
      <c r="G17" s="389">
        <f t="shared" si="0"/>
        <v>0</v>
      </c>
      <c r="H17" s="389"/>
    </row>
    <row r="18" spans="1:8" ht="18">
      <c r="A18" s="387" t="s">
        <v>77</v>
      </c>
      <c r="B18" s="387" t="s">
        <v>808</v>
      </c>
      <c r="C18" s="388" t="s">
        <v>939</v>
      </c>
      <c r="D18" s="389">
        <v>18400</v>
      </c>
      <c r="E18" s="390">
        <v>18400</v>
      </c>
      <c r="F18" s="391">
        <v>18400</v>
      </c>
      <c r="G18" s="389">
        <f t="shared" si="0"/>
        <v>0</v>
      </c>
      <c r="H18" s="389"/>
    </row>
    <row r="19" spans="1:8" ht="18">
      <c r="A19" s="387" t="s">
        <v>77</v>
      </c>
      <c r="B19" s="387" t="s">
        <v>808</v>
      </c>
      <c r="C19" s="388" t="s">
        <v>940</v>
      </c>
      <c r="D19" s="389">
        <v>62700</v>
      </c>
      <c r="E19" s="390">
        <v>62700</v>
      </c>
      <c r="F19" s="391">
        <v>62700</v>
      </c>
      <c r="G19" s="389">
        <f t="shared" si="0"/>
        <v>0</v>
      </c>
      <c r="H19" s="389"/>
    </row>
    <row r="20" spans="1:8" ht="18">
      <c r="A20" s="387" t="s">
        <v>77</v>
      </c>
      <c r="B20" s="387" t="s">
        <v>808</v>
      </c>
      <c r="C20" s="388" t="s">
        <v>941</v>
      </c>
      <c r="D20" s="389">
        <v>32500</v>
      </c>
      <c r="E20" s="390">
        <v>32500</v>
      </c>
      <c r="F20" s="391">
        <v>32500</v>
      </c>
      <c r="G20" s="389">
        <f t="shared" si="0"/>
        <v>0</v>
      </c>
      <c r="H20" s="389"/>
    </row>
    <row r="21" spans="1:8" ht="18">
      <c r="A21" s="387" t="s">
        <v>77</v>
      </c>
      <c r="B21" s="387" t="s">
        <v>808</v>
      </c>
      <c r="C21" s="388" t="s">
        <v>942</v>
      </c>
      <c r="D21" s="389">
        <v>32500</v>
      </c>
      <c r="E21" s="390">
        <v>32500</v>
      </c>
      <c r="F21" s="391">
        <v>32500</v>
      </c>
      <c r="G21" s="389">
        <f t="shared" si="0"/>
        <v>0</v>
      </c>
      <c r="H21" s="389"/>
    </row>
    <row r="22" spans="1:8" ht="18">
      <c r="A22" s="387" t="s">
        <v>77</v>
      </c>
      <c r="B22" s="387" t="s">
        <v>808</v>
      </c>
      <c r="C22" s="388" t="s">
        <v>943</v>
      </c>
      <c r="D22" s="389">
        <v>58600</v>
      </c>
      <c r="E22" s="390">
        <v>58600</v>
      </c>
      <c r="F22" s="391">
        <v>58600</v>
      </c>
      <c r="G22" s="389">
        <f t="shared" si="0"/>
        <v>0</v>
      </c>
      <c r="H22" s="389"/>
    </row>
    <row r="23" spans="1:8" ht="18">
      <c r="A23" s="387" t="s">
        <v>77</v>
      </c>
      <c r="B23" s="387" t="s">
        <v>808</v>
      </c>
      <c r="C23" s="388" t="s">
        <v>944</v>
      </c>
      <c r="D23" s="389">
        <v>47100</v>
      </c>
      <c r="E23" s="390">
        <v>47100</v>
      </c>
      <c r="F23" s="391">
        <v>47100</v>
      </c>
      <c r="G23" s="389">
        <f t="shared" si="0"/>
        <v>0</v>
      </c>
      <c r="H23" s="389"/>
    </row>
    <row r="24" spans="1:8" ht="18">
      <c r="A24" s="387" t="s">
        <v>77</v>
      </c>
      <c r="B24" s="387" t="s">
        <v>808</v>
      </c>
      <c r="C24" s="388" t="s">
        <v>945</v>
      </c>
      <c r="D24" s="389">
        <v>18000</v>
      </c>
      <c r="E24" s="390">
        <v>18000</v>
      </c>
      <c r="F24" s="391">
        <v>18000</v>
      </c>
      <c r="G24" s="389">
        <f t="shared" si="0"/>
        <v>0</v>
      </c>
      <c r="H24" s="389"/>
    </row>
    <row r="25" spans="1:8" ht="24.75" customHeight="1">
      <c r="A25" s="387" t="s">
        <v>77</v>
      </c>
      <c r="B25" s="387" t="s">
        <v>808</v>
      </c>
      <c r="C25" s="388" t="s">
        <v>946</v>
      </c>
      <c r="D25" s="389">
        <v>34700</v>
      </c>
      <c r="E25" s="390">
        <v>34700</v>
      </c>
      <c r="F25" s="391">
        <v>34700</v>
      </c>
      <c r="G25" s="389">
        <f t="shared" si="0"/>
        <v>0</v>
      </c>
      <c r="H25" s="389"/>
    </row>
    <row r="26" spans="1:8" ht="18">
      <c r="A26" s="387" t="s">
        <v>77</v>
      </c>
      <c r="B26" s="387" t="s">
        <v>808</v>
      </c>
      <c r="C26" s="388" t="s">
        <v>947</v>
      </c>
      <c r="D26" s="389">
        <v>18000</v>
      </c>
      <c r="E26" s="390">
        <v>18000</v>
      </c>
      <c r="F26" s="391">
        <v>18000</v>
      </c>
      <c r="G26" s="389">
        <f t="shared" si="0"/>
        <v>0</v>
      </c>
      <c r="H26" s="389"/>
    </row>
    <row r="27" spans="1:8" ht="18">
      <c r="A27" s="387" t="s">
        <v>77</v>
      </c>
      <c r="B27" s="387" t="s">
        <v>808</v>
      </c>
      <c r="C27" s="388" t="s">
        <v>948</v>
      </c>
      <c r="D27" s="389">
        <v>50500</v>
      </c>
      <c r="E27" s="390">
        <v>50500</v>
      </c>
      <c r="F27" s="391">
        <v>50500</v>
      </c>
      <c r="G27" s="389">
        <f t="shared" si="0"/>
        <v>0</v>
      </c>
      <c r="H27" s="389"/>
    </row>
    <row r="28" spans="1:8" ht="18">
      <c r="A28" s="387" t="s">
        <v>77</v>
      </c>
      <c r="B28" s="387" t="s">
        <v>808</v>
      </c>
      <c r="C28" s="388" t="s">
        <v>949</v>
      </c>
      <c r="D28" s="389">
        <v>31500</v>
      </c>
      <c r="E28" s="390">
        <v>31500</v>
      </c>
      <c r="F28" s="391">
        <v>31500</v>
      </c>
      <c r="G28" s="389">
        <f t="shared" si="0"/>
        <v>0</v>
      </c>
      <c r="H28" s="389"/>
    </row>
    <row r="29" spans="1:8" ht="18">
      <c r="A29" s="387" t="s">
        <v>77</v>
      </c>
      <c r="B29" s="387" t="s">
        <v>808</v>
      </c>
      <c r="C29" s="388" t="s">
        <v>950</v>
      </c>
      <c r="D29" s="389">
        <v>38300</v>
      </c>
      <c r="E29" s="390">
        <v>29200</v>
      </c>
      <c r="F29" s="391">
        <v>29200</v>
      </c>
      <c r="G29" s="389">
        <f t="shared" si="0"/>
        <v>9100</v>
      </c>
      <c r="H29" s="389"/>
    </row>
    <row r="30" spans="1:8" ht="18">
      <c r="A30" s="387" t="s">
        <v>77</v>
      </c>
      <c r="B30" s="387" t="s">
        <v>808</v>
      </c>
      <c r="C30" s="388" t="s">
        <v>951</v>
      </c>
      <c r="D30" s="389">
        <v>38300</v>
      </c>
      <c r="E30" s="390">
        <v>33800</v>
      </c>
      <c r="F30" s="391">
        <v>33800</v>
      </c>
      <c r="G30" s="389">
        <f t="shared" si="0"/>
        <v>4500</v>
      </c>
      <c r="H30" s="389"/>
    </row>
    <row r="31" spans="1:8" ht="18">
      <c r="A31" s="387" t="s">
        <v>77</v>
      </c>
      <c r="B31" s="387" t="s">
        <v>808</v>
      </c>
      <c r="C31" s="388" t="s">
        <v>952</v>
      </c>
      <c r="D31" s="389">
        <v>68900</v>
      </c>
      <c r="E31" s="390">
        <v>68900</v>
      </c>
      <c r="F31" s="391">
        <v>68900</v>
      </c>
      <c r="G31" s="389">
        <f t="shared" si="0"/>
        <v>0</v>
      </c>
      <c r="H31" s="389"/>
    </row>
    <row r="32" spans="1:8" ht="18">
      <c r="A32" s="387" t="s">
        <v>77</v>
      </c>
      <c r="B32" s="387" t="s">
        <v>808</v>
      </c>
      <c r="C32" s="388" t="s">
        <v>953</v>
      </c>
      <c r="D32" s="389">
        <v>21000</v>
      </c>
      <c r="E32" s="390">
        <v>21000</v>
      </c>
      <c r="F32" s="391">
        <v>21000</v>
      </c>
      <c r="G32" s="389">
        <f t="shared" si="0"/>
        <v>0</v>
      </c>
      <c r="H32" s="389"/>
    </row>
    <row r="33" spans="1:8" ht="18">
      <c r="A33" s="387" t="s">
        <v>77</v>
      </c>
      <c r="B33" s="387" t="s">
        <v>808</v>
      </c>
      <c r="C33" s="388" t="s">
        <v>954</v>
      </c>
      <c r="D33" s="389">
        <v>21000</v>
      </c>
      <c r="E33" s="390">
        <v>21000</v>
      </c>
      <c r="F33" s="391">
        <v>21000</v>
      </c>
      <c r="G33" s="389">
        <f t="shared" si="0"/>
        <v>0</v>
      </c>
      <c r="H33" s="389"/>
    </row>
    <row r="34" spans="1:8" ht="18">
      <c r="A34" s="387" t="s">
        <v>77</v>
      </c>
      <c r="B34" s="387" t="s">
        <v>808</v>
      </c>
      <c r="C34" s="388" t="s">
        <v>955</v>
      </c>
      <c r="D34" s="389">
        <v>18700</v>
      </c>
      <c r="E34" s="390">
        <v>15900</v>
      </c>
      <c r="F34" s="391">
        <v>15900</v>
      </c>
      <c r="G34" s="389">
        <f t="shared" si="0"/>
        <v>2800</v>
      </c>
      <c r="H34" s="389"/>
    </row>
    <row r="35" spans="1:8" ht="18">
      <c r="A35" s="387" t="s">
        <v>77</v>
      </c>
      <c r="B35" s="387" t="s">
        <v>808</v>
      </c>
      <c r="C35" s="388" t="s">
        <v>956</v>
      </c>
      <c r="D35" s="389">
        <v>23300</v>
      </c>
      <c r="E35" s="390">
        <v>20600</v>
      </c>
      <c r="F35" s="391">
        <v>20600</v>
      </c>
      <c r="G35" s="389">
        <f t="shared" si="0"/>
        <v>2700</v>
      </c>
      <c r="H35" s="389"/>
    </row>
    <row r="36" spans="1:8" ht="18">
      <c r="A36" s="387" t="s">
        <v>77</v>
      </c>
      <c r="B36" s="387" t="s">
        <v>808</v>
      </c>
      <c r="C36" s="388" t="s">
        <v>957</v>
      </c>
      <c r="D36" s="391">
        <v>17800</v>
      </c>
      <c r="E36" s="390">
        <v>17800</v>
      </c>
      <c r="F36" s="391">
        <v>17800</v>
      </c>
      <c r="G36" s="389">
        <f t="shared" si="0"/>
        <v>0</v>
      </c>
      <c r="H36" s="389"/>
    </row>
    <row r="37" spans="1:8" ht="18">
      <c r="A37" s="387" t="s">
        <v>77</v>
      </c>
      <c r="B37" s="387" t="s">
        <v>808</v>
      </c>
      <c r="C37" s="388" t="s">
        <v>958</v>
      </c>
      <c r="D37" s="391">
        <v>21000</v>
      </c>
      <c r="E37" s="390">
        <v>21000</v>
      </c>
      <c r="F37" s="391">
        <v>21000</v>
      </c>
      <c r="G37" s="389">
        <f t="shared" si="0"/>
        <v>0</v>
      </c>
      <c r="H37" s="389"/>
    </row>
    <row r="38" spans="1:8" ht="18">
      <c r="A38" s="387" t="s">
        <v>77</v>
      </c>
      <c r="B38" s="387" t="s">
        <v>808</v>
      </c>
      <c r="C38" s="388" t="s">
        <v>959</v>
      </c>
      <c r="D38" s="391">
        <v>8000</v>
      </c>
      <c r="E38" s="390">
        <v>8000</v>
      </c>
      <c r="F38" s="391">
        <v>8000</v>
      </c>
      <c r="G38" s="389">
        <f t="shared" si="0"/>
        <v>0</v>
      </c>
      <c r="H38" s="389"/>
    </row>
    <row r="39" spans="1:8" ht="18">
      <c r="A39" s="387" t="s">
        <v>77</v>
      </c>
      <c r="B39" s="387" t="s">
        <v>808</v>
      </c>
      <c r="C39" s="388" t="s">
        <v>960</v>
      </c>
      <c r="D39" s="391">
        <v>4000</v>
      </c>
      <c r="E39" s="390">
        <v>4000</v>
      </c>
      <c r="F39" s="391">
        <v>4000</v>
      </c>
      <c r="G39" s="389">
        <f t="shared" si="0"/>
        <v>0</v>
      </c>
      <c r="H39" s="389"/>
    </row>
    <row r="40" spans="1:8" ht="18">
      <c r="A40" s="387" t="s">
        <v>77</v>
      </c>
      <c r="B40" s="387" t="s">
        <v>808</v>
      </c>
      <c r="C40" s="388" t="s">
        <v>961</v>
      </c>
      <c r="D40" s="391">
        <v>1700</v>
      </c>
      <c r="E40" s="390">
        <v>1700</v>
      </c>
      <c r="F40" s="391">
        <v>1700</v>
      </c>
      <c r="G40" s="389">
        <f t="shared" si="0"/>
        <v>0</v>
      </c>
      <c r="H40" s="389"/>
    </row>
    <row r="41" spans="1:8" ht="18">
      <c r="A41" s="387" t="s">
        <v>77</v>
      </c>
      <c r="B41" s="387" t="s">
        <v>808</v>
      </c>
      <c r="C41" s="388" t="s">
        <v>962</v>
      </c>
      <c r="D41" s="391">
        <v>42000</v>
      </c>
      <c r="E41" s="390">
        <v>41800</v>
      </c>
      <c r="F41" s="391">
        <v>41800</v>
      </c>
      <c r="G41" s="389">
        <f t="shared" si="0"/>
        <v>200</v>
      </c>
      <c r="H41" s="389"/>
    </row>
    <row r="42" spans="1:8" ht="18">
      <c r="A42" s="387" t="s">
        <v>77</v>
      </c>
      <c r="B42" s="387" t="s">
        <v>808</v>
      </c>
      <c r="C42" s="388" t="s">
        <v>963</v>
      </c>
      <c r="D42" s="391">
        <v>8000</v>
      </c>
      <c r="E42" s="390">
        <v>8000</v>
      </c>
      <c r="F42" s="391">
        <v>8000</v>
      </c>
      <c r="G42" s="389">
        <f t="shared" si="0"/>
        <v>0</v>
      </c>
      <c r="H42" s="389"/>
    </row>
    <row r="43" spans="1:8" ht="18">
      <c r="A43" s="387" t="s">
        <v>77</v>
      </c>
      <c r="B43" s="387" t="s">
        <v>808</v>
      </c>
      <c r="C43" s="388" t="s">
        <v>964</v>
      </c>
      <c r="D43" s="391">
        <v>20000</v>
      </c>
      <c r="E43" s="390">
        <v>20000</v>
      </c>
      <c r="F43" s="391">
        <v>20000</v>
      </c>
      <c r="G43" s="389">
        <f t="shared" si="0"/>
        <v>0</v>
      </c>
      <c r="H43" s="389"/>
    </row>
    <row r="44" spans="1:8" ht="18">
      <c r="A44" s="387" t="s">
        <v>77</v>
      </c>
      <c r="B44" s="387" t="s">
        <v>808</v>
      </c>
      <c r="C44" s="388" t="s">
        <v>965</v>
      </c>
      <c r="D44" s="389">
        <v>23000</v>
      </c>
      <c r="E44" s="390">
        <v>23000</v>
      </c>
      <c r="F44" s="391">
        <v>23000</v>
      </c>
      <c r="G44" s="389">
        <f t="shared" si="0"/>
        <v>0</v>
      </c>
      <c r="H44" s="389"/>
    </row>
    <row r="45" spans="1:8" ht="18">
      <c r="A45" s="387" t="s">
        <v>77</v>
      </c>
      <c r="B45" s="387" t="s">
        <v>808</v>
      </c>
      <c r="C45" s="388" t="s">
        <v>966</v>
      </c>
      <c r="D45" s="389">
        <v>8000</v>
      </c>
      <c r="E45" s="390">
        <v>8000</v>
      </c>
      <c r="F45" s="391">
        <v>8000</v>
      </c>
      <c r="G45" s="389">
        <f t="shared" si="0"/>
        <v>0</v>
      </c>
      <c r="H45" s="389"/>
    </row>
    <row r="46" spans="1:8" ht="18">
      <c r="A46" s="387" t="s">
        <v>77</v>
      </c>
      <c r="B46" s="387" t="s">
        <v>808</v>
      </c>
      <c r="C46" s="388" t="s">
        <v>967</v>
      </c>
      <c r="D46" s="389">
        <v>900</v>
      </c>
      <c r="E46" s="390">
        <v>900</v>
      </c>
      <c r="F46" s="391">
        <v>900</v>
      </c>
      <c r="G46" s="389">
        <f t="shared" si="0"/>
        <v>0</v>
      </c>
      <c r="H46" s="389"/>
    </row>
    <row r="47" spans="1:8" ht="18">
      <c r="A47" s="387" t="s">
        <v>77</v>
      </c>
      <c r="B47" s="387" t="s">
        <v>808</v>
      </c>
      <c r="C47" s="388" t="s">
        <v>968</v>
      </c>
      <c r="D47" s="389">
        <v>14000</v>
      </c>
      <c r="E47" s="390">
        <v>14000</v>
      </c>
      <c r="F47" s="391">
        <v>14000</v>
      </c>
      <c r="G47" s="389">
        <f t="shared" si="0"/>
        <v>0</v>
      </c>
      <c r="H47" s="389"/>
    </row>
    <row r="48" spans="1:8" ht="18">
      <c r="A48" s="387" t="s">
        <v>77</v>
      </c>
      <c r="B48" s="387" t="s">
        <v>808</v>
      </c>
      <c r="C48" s="388" t="s">
        <v>969</v>
      </c>
      <c r="D48" s="389">
        <v>15000</v>
      </c>
      <c r="E48" s="390">
        <v>15000</v>
      </c>
      <c r="F48" s="391">
        <v>15000</v>
      </c>
      <c r="G48" s="389">
        <f t="shared" si="0"/>
        <v>0</v>
      </c>
      <c r="H48" s="389"/>
    </row>
    <row r="49" spans="1:8" ht="18">
      <c r="A49" s="387" t="s">
        <v>77</v>
      </c>
      <c r="B49" s="387" t="s">
        <v>808</v>
      </c>
      <c r="C49" s="388" t="s">
        <v>970</v>
      </c>
      <c r="D49" s="389">
        <v>19000</v>
      </c>
      <c r="E49" s="390">
        <v>19000</v>
      </c>
      <c r="F49" s="391">
        <v>19000</v>
      </c>
      <c r="G49" s="389">
        <f t="shared" si="0"/>
        <v>0</v>
      </c>
      <c r="H49" s="389"/>
    </row>
    <row r="50" spans="1:8" ht="18">
      <c r="A50" s="387" t="s">
        <v>77</v>
      </c>
      <c r="B50" s="387" t="s">
        <v>808</v>
      </c>
      <c r="C50" s="388" t="s">
        <v>971</v>
      </c>
      <c r="D50" s="389">
        <v>20000</v>
      </c>
      <c r="E50" s="390">
        <v>20000</v>
      </c>
      <c r="F50" s="391">
        <v>20000</v>
      </c>
      <c r="G50" s="389">
        <f t="shared" si="0"/>
        <v>0</v>
      </c>
      <c r="H50" s="389"/>
    </row>
    <row r="51" spans="1:8" ht="18">
      <c r="A51" s="387" t="s">
        <v>77</v>
      </c>
      <c r="B51" s="387" t="s">
        <v>808</v>
      </c>
      <c r="C51" s="388" t="s">
        <v>972</v>
      </c>
      <c r="D51" s="389">
        <v>5000</v>
      </c>
      <c r="E51" s="390">
        <v>5000</v>
      </c>
      <c r="F51" s="391">
        <v>5000</v>
      </c>
      <c r="G51" s="389">
        <f t="shared" si="0"/>
        <v>0</v>
      </c>
      <c r="H51" s="389"/>
    </row>
    <row r="52" spans="1:8" ht="18">
      <c r="A52" s="387" t="s">
        <v>77</v>
      </c>
      <c r="B52" s="387" t="s">
        <v>808</v>
      </c>
      <c r="C52" s="388" t="s">
        <v>973</v>
      </c>
      <c r="D52" s="389">
        <v>6000</v>
      </c>
      <c r="E52" s="390">
        <v>6000</v>
      </c>
      <c r="F52" s="391">
        <v>6000</v>
      </c>
      <c r="G52" s="389">
        <f t="shared" si="0"/>
        <v>0</v>
      </c>
      <c r="H52" s="389"/>
    </row>
    <row r="53" spans="1:8" ht="18">
      <c r="A53" s="387" t="s">
        <v>77</v>
      </c>
      <c r="B53" s="387" t="s">
        <v>808</v>
      </c>
      <c r="C53" s="388" t="s">
        <v>974</v>
      </c>
      <c r="D53" s="389">
        <v>6000</v>
      </c>
      <c r="E53" s="390">
        <v>6000</v>
      </c>
      <c r="F53" s="391">
        <v>6000</v>
      </c>
      <c r="G53" s="389">
        <f t="shared" si="0"/>
        <v>0</v>
      </c>
      <c r="H53" s="389"/>
    </row>
    <row r="54" spans="1:8" ht="18">
      <c r="A54" s="387" t="s">
        <v>77</v>
      </c>
      <c r="B54" s="387" t="s">
        <v>808</v>
      </c>
      <c r="C54" s="388" t="s">
        <v>975</v>
      </c>
      <c r="D54" s="389">
        <v>6000</v>
      </c>
      <c r="E54" s="390">
        <v>6000</v>
      </c>
      <c r="F54" s="391">
        <v>6000</v>
      </c>
      <c r="G54" s="389">
        <f t="shared" si="0"/>
        <v>0</v>
      </c>
      <c r="H54" s="389"/>
    </row>
    <row r="55" spans="1:8" ht="18">
      <c r="A55" s="387" t="s">
        <v>77</v>
      </c>
      <c r="B55" s="387" t="s">
        <v>808</v>
      </c>
      <c r="C55" s="388" t="s">
        <v>976</v>
      </c>
      <c r="D55" s="389">
        <v>1800</v>
      </c>
      <c r="E55" s="390">
        <v>1800</v>
      </c>
      <c r="F55" s="391">
        <v>1800</v>
      </c>
      <c r="G55" s="389">
        <f t="shared" si="0"/>
        <v>0</v>
      </c>
      <c r="H55" s="389"/>
    </row>
    <row r="56" spans="1:8" ht="18">
      <c r="A56" s="387" t="s">
        <v>77</v>
      </c>
      <c r="B56" s="387" t="s">
        <v>808</v>
      </c>
      <c r="C56" s="388" t="s">
        <v>977</v>
      </c>
      <c r="D56" s="389">
        <v>9000</v>
      </c>
      <c r="E56" s="390">
        <v>9000</v>
      </c>
      <c r="F56" s="391">
        <v>9000</v>
      </c>
      <c r="G56" s="389">
        <f t="shared" si="0"/>
        <v>0</v>
      </c>
      <c r="H56" s="389"/>
    </row>
    <row r="57" spans="1:8" ht="18">
      <c r="A57" s="387" t="s">
        <v>77</v>
      </c>
      <c r="B57" s="387" t="s">
        <v>808</v>
      </c>
      <c r="C57" s="388" t="s">
        <v>978</v>
      </c>
      <c r="D57" s="389">
        <v>7000</v>
      </c>
      <c r="E57" s="390">
        <v>7000</v>
      </c>
      <c r="F57" s="391">
        <v>7000</v>
      </c>
      <c r="G57" s="389">
        <f t="shared" si="0"/>
        <v>0</v>
      </c>
      <c r="H57" s="389"/>
    </row>
    <row r="58" spans="1:8" ht="18">
      <c r="A58" s="387" t="s">
        <v>77</v>
      </c>
      <c r="B58" s="387" t="s">
        <v>808</v>
      </c>
      <c r="C58" s="388" t="s">
        <v>979</v>
      </c>
      <c r="D58" s="389">
        <v>9000</v>
      </c>
      <c r="E58" s="390">
        <v>9000</v>
      </c>
      <c r="F58" s="391">
        <v>9000</v>
      </c>
      <c r="G58" s="389">
        <f t="shared" si="0"/>
        <v>0</v>
      </c>
      <c r="H58" s="389"/>
    </row>
    <row r="59" spans="1:8" ht="18">
      <c r="A59" s="387" t="s">
        <v>77</v>
      </c>
      <c r="B59" s="387" t="s">
        <v>808</v>
      </c>
      <c r="C59" s="388" t="s">
        <v>980</v>
      </c>
      <c r="D59" s="389">
        <v>16000</v>
      </c>
      <c r="E59" s="390">
        <v>16000</v>
      </c>
      <c r="F59" s="391">
        <v>16000</v>
      </c>
      <c r="G59" s="389">
        <f t="shared" si="0"/>
        <v>0</v>
      </c>
      <c r="H59" s="389"/>
    </row>
    <row r="60" spans="1:8" ht="18">
      <c r="A60" s="387" t="s">
        <v>77</v>
      </c>
      <c r="B60" s="387" t="s">
        <v>808</v>
      </c>
      <c r="C60" s="388" t="s">
        <v>981</v>
      </c>
      <c r="D60" s="389">
        <v>6000</v>
      </c>
      <c r="E60" s="390">
        <v>6000</v>
      </c>
      <c r="F60" s="391">
        <v>6000</v>
      </c>
      <c r="G60" s="389">
        <f t="shared" si="0"/>
        <v>0</v>
      </c>
      <c r="H60" s="389"/>
    </row>
    <row r="61" spans="1:8" ht="18">
      <c r="A61" s="387" t="s">
        <v>77</v>
      </c>
      <c r="B61" s="387" t="s">
        <v>808</v>
      </c>
      <c r="C61" s="388" t="s">
        <v>982</v>
      </c>
      <c r="D61" s="389">
        <v>25000</v>
      </c>
      <c r="E61" s="390">
        <v>25000</v>
      </c>
      <c r="F61" s="391">
        <v>25000</v>
      </c>
      <c r="G61" s="389">
        <f t="shared" si="0"/>
        <v>0</v>
      </c>
      <c r="H61" s="389"/>
    </row>
    <row r="62" spans="1:8" ht="18">
      <c r="A62" s="387" t="s">
        <v>77</v>
      </c>
      <c r="B62" s="387" t="s">
        <v>808</v>
      </c>
      <c r="C62" s="388" t="s">
        <v>983</v>
      </c>
      <c r="D62" s="389">
        <v>8000</v>
      </c>
      <c r="E62" s="390">
        <v>8000</v>
      </c>
      <c r="F62" s="391">
        <v>8000</v>
      </c>
      <c r="G62" s="389">
        <f t="shared" si="0"/>
        <v>0</v>
      </c>
      <c r="H62" s="389"/>
    </row>
    <row r="63" spans="1:8" ht="18">
      <c r="A63" s="387" t="s">
        <v>77</v>
      </c>
      <c r="B63" s="387" t="s">
        <v>808</v>
      </c>
      <c r="C63" s="388" t="s">
        <v>984</v>
      </c>
      <c r="D63" s="389">
        <v>25000</v>
      </c>
      <c r="E63" s="390">
        <v>25000</v>
      </c>
      <c r="F63" s="391">
        <v>25000</v>
      </c>
      <c r="G63" s="389">
        <f t="shared" si="0"/>
        <v>0</v>
      </c>
      <c r="H63" s="389"/>
    </row>
    <row r="64" spans="1:8" ht="18">
      <c r="A64" s="387" t="s">
        <v>77</v>
      </c>
      <c r="B64" s="387" t="s">
        <v>808</v>
      </c>
      <c r="C64" s="388" t="s">
        <v>985</v>
      </c>
      <c r="D64" s="389">
        <v>17000</v>
      </c>
      <c r="E64" s="390">
        <v>17000</v>
      </c>
      <c r="F64" s="391">
        <v>17000</v>
      </c>
      <c r="G64" s="389">
        <f t="shared" si="0"/>
        <v>0</v>
      </c>
      <c r="H64" s="389"/>
    </row>
    <row r="65" spans="1:8" ht="18">
      <c r="A65" s="387" t="s">
        <v>77</v>
      </c>
      <c r="B65" s="387" t="s">
        <v>808</v>
      </c>
      <c r="C65" s="388" t="s">
        <v>986</v>
      </c>
      <c r="D65" s="389">
        <v>17000</v>
      </c>
      <c r="E65" s="390">
        <v>17000</v>
      </c>
      <c r="F65" s="391">
        <v>17000</v>
      </c>
      <c r="G65" s="389">
        <f t="shared" si="0"/>
        <v>0</v>
      </c>
      <c r="H65" s="389"/>
    </row>
    <row r="66" spans="1:8" ht="18">
      <c r="A66" s="387" t="s">
        <v>77</v>
      </c>
      <c r="B66" s="387" t="s">
        <v>808</v>
      </c>
      <c r="C66" s="388" t="s">
        <v>987</v>
      </c>
      <c r="D66" s="389">
        <v>11000</v>
      </c>
      <c r="E66" s="390">
        <v>11000</v>
      </c>
      <c r="F66" s="391">
        <v>11000</v>
      </c>
      <c r="G66" s="389">
        <f t="shared" si="0"/>
        <v>0</v>
      </c>
      <c r="H66" s="389"/>
    </row>
    <row r="67" spans="1:8" ht="18">
      <c r="A67" s="387" t="s">
        <v>77</v>
      </c>
      <c r="B67" s="387" t="s">
        <v>808</v>
      </c>
      <c r="C67" s="388" t="s">
        <v>988</v>
      </c>
      <c r="D67" s="389">
        <v>36000</v>
      </c>
      <c r="E67" s="390">
        <v>36000</v>
      </c>
      <c r="F67" s="391">
        <v>36000</v>
      </c>
      <c r="G67" s="389">
        <f t="shared" si="0"/>
        <v>0</v>
      </c>
      <c r="H67" s="389"/>
    </row>
    <row r="68" spans="1:8" ht="18">
      <c r="A68" s="387" t="s">
        <v>77</v>
      </c>
      <c r="B68" s="387" t="s">
        <v>808</v>
      </c>
      <c r="C68" s="388" t="s">
        <v>989</v>
      </c>
      <c r="D68" s="389">
        <v>5000</v>
      </c>
      <c r="E68" s="390">
        <v>5000</v>
      </c>
      <c r="F68" s="391">
        <v>5000</v>
      </c>
      <c r="G68" s="389">
        <f t="shared" si="0"/>
        <v>0</v>
      </c>
      <c r="H68" s="389"/>
    </row>
    <row r="69" spans="1:8" ht="18">
      <c r="A69" s="387" t="s">
        <v>77</v>
      </c>
      <c r="B69" s="387" t="s">
        <v>808</v>
      </c>
      <c r="C69" s="388" t="s">
        <v>990</v>
      </c>
      <c r="D69" s="389">
        <v>9000</v>
      </c>
      <c r="E69" s="390">
        <v>9000</v>
      </c>
      <c r="F69" s="391">
        <v>9000</v>
      </c>
      <c r="G69" s="389">
        <f t="shared" si="0"/>
        <v>0</v>
      </c>
      <c r="H69" s="389"/>
    </row>
    <row r="70" spans="1:8" ht="18">
      <c r="A70" s="387" t="s">
        <v>77</v>
      </c>
      <c r="B70" s="387" t="s">
        <v>808</v>
      </c>
      <c r="C70" s="388" t="s">
        <v>991</v>
      </c>
      <c r="D70" s="389">
        <v>10000</v>
      </c>
      <c r="E70" s="390">
        <v>10000</v>
      </c>
      <c r="F70" s="391">
        <v>10000</v>
      </c>
      <c r="G70" s="389">
        <f t="shared" si="0"/>
        <v>0</v>
      </c>
      <c r="H70" s="389"/>
    </row>
    <row r="71" spans="1:8" ht="18">
      <c r="A71" s="387" t="s">
        <v>77</v>
      </c>
      <c r="B71" s="387" t="s">
        <v>808</v>
      </c>
      <c r="C71" s="388" t="s">
        <v>992</v>
      </c>
      <c r="D71" s="389">
        <v>10000</v>
      </c>
      <c r="E71" s="390">
        <v>10000</v>
      </c>
      <c r="F71" s="391">
        <v>10000</v>
      </c>
      <c r="G71" s="389">
        <f t="shared" si="0"/>
        <v>0</v>
      </c>
      <c r="H71" s="389"/>
    </row>
    <row r="72" spans="1:8" ht="18">
      <c r="A72" s="387" t="s">
        <v>77</v>
      </c>
      <c r="B72" s="387" t="s">
        <v>808</v>
      </c>
      <c r="C72" s="388" t="s">
        <v>993</v>
      </c>
      <c r="D72" s="389">
        <v>50000</v>
      </c>
      <c r="E72" s="390">
        <v>49800</v>
      </c>
      <c r="F72" s="391">
        <v>49800</v>
      </c>
      <c r="G72" s="389">
        <f t="shared" si="0"/>
        <v>200</v>
      </c>
      <c r="H72" s="389"/>
    </row>
    <row r="73" spans="1:8" ht="18">
      <c r="A73" s="387" t="s">
        <v>77</v>
      </c>
      <c r="B73" s="387" t="s">
        <v>808</v>
      </c>
      <c r="C73" s="388" t="s">
        <v>994</v>
      </c>
      <c r="D73" s="389">
        <v>497000</v>
      </c>
      <c r="E73" s="390">
        <v>489000</v>
      </c>
      <c r="F73" s="391">
        <v>489000</v>
      </c>
      <c r="G73" s="389">
        <f t="shared" si="0"/>
        <v>8000</v>
      </c>
      <c r="H73" s="389"/>
    </row>
    <row r="74" spans="1:8" ht="18">
      <c r="A74" s="387"/>
      <c r="B74" s="387"/>
      <c r="C74" s="581"/>
      <c r="D74" s="389"/>
      <c r="E74" s="389"/>
      <c r="F74" s="389"/>
      <c r="G74" s="389">
        <f>D74-F74</f>
        <v>0</v>
      </c>
      <c r="H74" s="389"/>
    </row>
    <row r="75" spans="1:8" ht="18">
      <c r="A75" s="387" t="s">
        <v>77</v>
      </c>
      <c r="B75" s="387" t="s">
        <v>997</v>
      </c>
      <c r="C75" s="388" t="s">
        <v>995</v>
      </c>
      <c r="D75" s="389">
        <v>100000</v>
      </c>
      <c r="E75" s="390">
        <v>100000</v>
      </c>
      <c r="F75" s="391">
        <v>100000</v>
      </c>
      <c r="G75" s="389">
        <f t="shared" si="0"/>
        <v>0</v>
      </c>
      <c r="H75" s="389"/>
    </row>
    <row r="76" spans="1:8" ht="18">
      <c r="A76" s="387" t="s">
        <v>77</v>
      </c>
      <c r="B76" s="387" t="s">
        <v>998</v>
      </c>
      <c r="C76" s="388" t="s">
        <v>996</v>
      </c>
      <c r="D76" s="389">
        <v>499600</v>
      </c>
      <c r="E76" s="390">
        <v>499600</v>
      </c>
      <c r="F76" s="391">
        <v>499600</v>
      </c>
      <c r="G76" s="389">
        <f t="shared" ref="G76:G79" si="1">D76-F76</f>
        <v>0</v>
      </c>
      <c r="H76" s="389"/>
    </row>
    <row r="77" spans="1:8" ht="18">
      <c r="A77" s="387"/>
      <c r="B77" s="387"/>
      <c r="C77" s="581"/>
      <c r="D77" s="389"/>
      <c r="E77" s="389"/>
      <c r="F77" s="389"/>
      <c r="G77" s="389">
        <f t="shared" si="1"/>
        <v>0</v>
      </c>
      <c r="H77" s="389"/>
    </row>
    <row r="78" spans="1:8" ht="18">
      <c r="A78" s="387" t="s">
        <v>1003</v>
      </c>
      <c r="B78" s="387" t="s">
        <v>1001</v>
      </c>
      <c r="C78" s="581" t="s">
        <v>999</v>
      </c>
      <c r="D78" s="389">
        <v>475200</v>
      </c>
      <c r="E78" s="390">
        <v>475200</v>
      </c>
      <c r="F78" s="391">
        <v>475200</v>
      </c>
      <c r="G78" s="389">
        <f t="shared" si="1"/>
        <v>0</v>
      </c>
      <c r="H78" s="389"/>
    </row>
    <row r="79" spans="1:8" ht="18">
      <c r="A79" s="387" t="s">
        <v>1004</v>
      </c>
      <c r="B79" s="387" t="s">
        <v>1002</v>
      </c>
      <c r="C79" s="581" t="s">
        <v>1000</v>
      </c>
      <c r="D79" s="389"/>
      <c r="E79" s="389"/>
      <c r="F79" s="389"/>
      <c r="G79" s="389">
        <f t="shared" si="1"/>
        <v>0</v>
      </c>
      <c r="H79" s="389"/>
    </row>
    <row r="80" spans="1:8" ht="18">
      <c r="A80" s="387"/>
      <c r="B80" s="387"/>
      <c r="C80" s="581"/>
      <c r="D80" s="389"/>
      <c r="E80" s="389"/>
      <c r="F80" s="389"/>
      <c r="G80" s="389"/>
      <c r="H80" s="389"/>
    </row>
    <row r="81" spans="1:8" ht="18">
      <c r="A81" s="764" t="s">
        <v>35</v>
      </c>
      <c r="B81" s="765"/>
      <c r="C81" s="766"/>
      <c r="D81" s="392">
        <f>SUM(D11:D80)</f>
        <v>3011200</v>
      </c>
      <c r="E81" s="392">
        <f>SUM(E11:E80)</f>
        <v>2983700</v>
      </c>
      <c r="F81" s="392">
        <f>SUM(F11:F80)</f>
        <v>2983700</v>
      </c>
      <c r="G81" s="392">
        <f>SUM(G11:G80)</f>
        <v>27500</v>
      </c>
      <c r="H81" s="392"/>
    </row>
    <row r="82" spans="1:8" ht="18">
      <c r="A82" s="45"/>
      <c r="B82" s="45"/>
      <c r="C82" s="45"/>
      <c r="D82" s="45"/>
      <c r="E82" s="45"/>
      <c r="F82" s="45"/>
      <c r="G82" s="45"/>
      <c r="H82" s="45"/>
    </row>
    <row r="83" spans="1:8" ht="18">
      <c r="A83" s="45"/>
      <c r="B83" s="45"/>
      <c r="C83" s="45"/>
      <c r="D83" s="45"/>
      <c r="E83" s="45"/>
      <c r="F83" s="45"/>
      <c r="G83" s="45"/>
      <c r="H83" s="45"/>
    </row>
    <row r="84" spans="1:8" ht="18">
      <c r="A84" s="45"/>
      <c r="B84" s="45"/>
      <c r="C84" s="45"/>
      <c r="D84" s="45"/>
      <c r="E84" s="45"/>
      <c r="F84" s="45"/>
      <c r="G84" s="45"/>
      <c r="H84" s="45"/>
    </row>
    <row r="85" spans="1:8" ht="18">
      <c r="A85" s="45"/>
      <c r="B85" s="45"/>
      <c r="C85" s="45"/>
      <c r="D85" s="45"/>
      <c r="E85" s="45"/>
      <c r="F85" s="45"/>
      <c r="G85" s="45"/>
      <c r="H85" s="45"/>
    </row>
    <row r="86" spans="1:8" ht="18">
      <c r="A86" s="45"/>
      <c r="B86" s="45"/>
      <c r="C86" s="45"/>
      <c r="D86" s="45"/>
      <c r="E86" s="45"/>
      <c r="F86" s="45"/>
      <c r="G86" s="45"/>
      <c r="H86" s="45"/>
    </row>
    <row r="87" spans="1:8" ht="18">
      <c r="A87" s="45"/>
      <c r="B87" s="45"/>
      <c r="C87" s="45"/>
      <c r="D87" s="45"/>
      <c r="E87" s="45"/>
      <c r="F87" s="45"/>
      <c r="G87" s="45"/>
      <c r="H87" s="45"/>
    </row>
    <row r="88" spans="1:8" ht="18">
      <c r="A88" s="45"/>
      <c r="B88" s="45"/>
      <c r="C88" s="45"/>
      <c r="D88" s="45"/>
      <c r="E88" s="45"/>
      <c r="F88" s="45"/>
      <c r="G88" s="45"/>
      <c r="H88" s="45"/>
    </row>
    <row r="89" spans="1:8" ht="18">
      <c r="A89" s="45"/>
      <c r="B89" s="45"/>
      <c r="C89" s="45"/>
      <c r="D89" s="45"/>
      <c r="E89" s="45"/>
      <c r="F89" s="45"/>
      <c r="G89" s="45"/>
      <c r="H89" s="45"/>
    </row>
    <row r="90" spans="1:8" ht="18">
      <c r="A90" s="45"/>
      <c r="B90" s="45"/>
      <c r="C90" s="45"/>
      <c r="D90" s="45"/>
      <c r="E90" s="45"/>
      <c r="F90" s="45"/>
      <c r="G90" s="45"/>
      <c r="H90" s="45"/>
    </row>
    <row r="91" spans="1:8" ht="18">
      <c r="A91" s="45"/>
      <c r="B91" s="45"/>
      <c r="C91" s="45"/>
      <c r="D91" s="45"/>
      <c r="E91" s="45"/>
      <c r="F91" s="45"/>
      <c r="G91" s="45"/>
      <c r="H91" s="45"/>
    </row>
    <row r="92" spans="1:8" ht="18">
      <c r="A92" s="45"/>
      <c r="B92" s="45"/>
      <c r="C92" s="45"/>
      <c r="D92" s="45"/>
      <c r="E92" s="45"/>
      <c r="F92" s="45"/>
      <c r="G92" s="45"/>
      <c r="H92" s="45"/>
    </row>
    <row r="93" spans="1:8" ht="18">
      <c r="A93" s="45"/>
      <c r="B93" s="45"/>
      <c r="C93" s="45"/>
      <c r="D93" s="45"/>
      <c r="E93" s="45"/>
      <c r="F93" s="45"/>
      <c r="G93" s="45"/>
      <c r="H93" s="45"/>
    </row>
    <row r="94" spans="1:8" ht="18">
      <c r="A94" s="45"/>
      <c r="B94" s="45"/>
      <c r="C94" s="45"/>
      <c r="D94" s="45"/>
      <c r="E94" s="45"/>
      <c r="F94" s="45"/>
      <c r="G94" s="45"/>
      <c r="H94" s="45"/>
    </row>
    <row r="95" spans="1:8" ht="18">
      <c r="A95" s="45"/>
      <c r="B95" s="45"/>
      <c r="C95" s="45"/>
      <c r="D95" s="45"/>
      <c r="E95" s="45"/>
      <c r="F95" s="45"/>
      <c r="G95" s="45"/>
      <c r="H95" s="45"/>
    </row>
    <row r="96" spans="1:8" ht="18">
      <c r="A96" s="45"/>
      <c r="B96" s="45"/>
      <c r="C96" s="45"/>
      <c r="D96" s="45"/>
      <c r="E96" s="45"/>
      <c r="F96" s="45"/>
      <c r="G96" s="45"/>
      <c r="H96" s="45"/>
    </row>
    <row r="97" spans="1:8" ht="18">
      <c r="A97" s="45"/>
      <c r="B97" s="45"/>
      <c r="C97" s="45"/>
      <c r="D97" s="45"/>
      <c r="E97" s="45"/>
      <c r="F97" s="45"/>
      <c r="G97" s="45"/>
      <c r="H97" s="45"/>
    </row>
    <row r="98" spans="1:8" ht="24.75">
      <c r="A98" s="46" t="s">
        <v>1097</v>
      </c>
      <c r="B98" s="45"/>
      <c r="C98" s="45"/>
      <c r="D98" s="45"/>
      <c r="E98" s="45"/>
      <c r="F98" s="45"/>
      <c r="G98" s="45"/>
      <c r="H98" s="45"/>
    </row>
    <row r="99" spans="1:8" ht="21.75" customHeight="1">
      <c r="A99" s="46" t="s">
        <v>142</v>
      </c>
      <c r="B99" s="45"/>
      <c r="C99" s="45"/>
      <c r="D99" s="45"/>
      <c r="E99" s="45"/>
      <c r="F99" s="45"/>
      <c r="G99" s="45"/>
      <c r="H99" s="45"/>
    </row>
    <row r="100" spans="1:8" ht="22.5" customHeight="1">
      <c r="A100" s="761" t="s">
        <v>50</v>
      </c>
      <c r="B100" s="761" t="s">
        <v>51</v>
      </c>
      <c r="C100" s="761" t="s">
        <v>41</v>
      </c>
      <c r="D100" s="762" t="s">
        <v>238</v>
      </c>
      <c r="E100" s="758" t="s">
        <v>60</v>
      </c>
      <c r="F100" s="758" t="s">
        <v>61</v>
      </c>
      <c r="G100" s="758" t="s">
        <v>62</v>
      </c>
      <c r="H100" s="758" t="s">
        <v>63</v>
      </c>
    </row>
    <row r="101" spans="1:8" ht="15" customHeight="1">
      <c r="A101" s="761"/>
      <c r="B101" s="761"/>
      <c r="C101" s="761"/>
      <c r="D101" s="763"/>
      <c r="E101" s="758"/>
      <c r="F101" s="758"/>
      <c r="G101" s="758"/>
      <c r="H101" s="758"/>
    </row>
    <row r="102" spans="1:8" ht="18.75">
      <c r="A102" s="444" t="s">
        <v>77</v>
      </c>
      <c r="B102" s="444" t="s">
        <v>808</v>
      </c>
      <c r="C102" s="447" t="s">
        <v>1273</v>
      </c>
      <c r="D102" s="445">
        <v>98000</v>
      </c>
      <c r="E102" s="445">
        <v>97000</v>
      </c>
      <c r="F102" s="445">
        <v>97000</v>
      </c>
      <c r="G102" s="445">
        <f>D102-F102</f>
        <v>1000</v>
      </c>
      <c r="H102" s="445"/>
    </row>
    <row r="103" spans="1:8" ht="18.75">
      <c r="A103" s="444" t="s">
        <v>77</v>
      </c>
      <c r="B103" s="444" t="s">
        <v>808</v>
      </c>
      <c r="C103" s="447" t="s">
        <v>1274</v>
      </c>
      <c r="D103" s="445">
        <v>37000</v>
      </c>
      <c r="E103" s="445">
        <v>35000</v>
      </c>
      <c r="F103" s="445">
        <v>35000</v>
      </c>
      <c r="G103" s="445">
        <f t="shared" ref="G103:G122" si="2">D103-F103</f>
        <v>2000</v>
      </c>
      <c r="H103" s="445"/>
    </row>
    <row r="104" spans="1:8" ht="18.75">
      <c r="A104" s="444" t="s">
        <v>77</v>
      </c>
      <c r="B104" s="444" t="s">
        <v>808</v>
      </c>
      <c r="C104" s="447" t="s">
        <v>1275</v>
      </c>
      <c r="D104" s="445">
        <v>50000</v>
      </c>
      <c r="E104" s="445">
        <v>48000</v>
      </c>
      <c r="F104" s="445">
        <v>48000</v>
      </c>
      <c r="G104" s="445">
        <f t="shared" si="2"/>
        <v>2000</v>
      </c>
      <c r="H104" s="445"/>
    </row>
    <row r="105" spans="1:8" ht="18.75">
      <c r="A105" s="444" t="s">
        <v>77</v>
      </c>
      <c r="B105" s="444" t="s">
        <v>808</v>
      </c>
      <c r="C105" s="447" t="s">
        <v>1276</v>
      </c>
      <c r="D105" s="445">
        <v>38000</v>
      </c>
      <c r="E105" s="445">
        <v>37500</v>
      </c>
      <c r="F105" s="445">
        <v>37500</v>
      </c>
      <c r="G105" s="445">
        <f t="shared" si="2"/>
        <v>500</v>
      </c>
      <c r="H105" s="445"/>
    </row>
    <row r="106" spans="1:8" ht="18.75">
      <c r="A106" s="444" t="s">
        <v>77</v>
      </c>
      <c r="B106" s="444" t="s">
        <v>808</v>
      </c>
      <c r="C106" s="447" t="s">
        <v>1277</v>
      </c>
      <c r="D106" s="445">
        <v>124000</v>
      </c>
      <c r="E106" s="445">
        <v>123500</v>
      </c>
      <c r="F106" s="445">
        <v>123500</v>
      </c>
      <c r="G106" s="445">
        <f t="shared" si="2"/>
        <v>500</v>
      </c>
      <c r="H106" s="445"/>
    </row>
    <row r="107" spans="1:8" ht="18.75">
      <c r="A107" s="444" t="s">
        <v>77</v>
      </c>
      <c r="B107" s="444" t="s">
        <v>808</v>
      </c>
      <c r="C107" s="447" t="s">
        <v>1278</v>
      </c>
      <c r="D107" s="445">
        <v>40000</v>
      </c>
      <c r="E107" s="445">
        <v>39500</v>
      </c>
      <c r="F107" s="445">
        <v>39500</v>
      </c>
      <c r="G107" s="445">
        <f t="shared" si="2"/>
        <v>500</v>
      </c>
      <c r="H107" s="445"/>
    </row>
    <row r="108" spans="1:8" ht="18.75">
      <c r="A108" s="444" t="s">
        <v>77</v>
      </c>
      <c r="B108" s="444" t="s">
        <v>808</v>
      </c>
      <c r="C108" s="447" t="s">
        <v>1279</v>
      </c>
      <c r="D108" s="445">
        <v>26000</v>
      </c>
      <c r="E108" s="445">
        <v>25500</v>
      </c>
      <c r="F108" s="445">
        <v>25500</v>
      </c>
      <c r="G108" s="445">
        <f t="shared" si="2"/>
        <v>500</v>
      </c>
      <c r="H108" s="445"/>
    </row>
    <row r="109" spans="1:8" ht="18.75">
      <c r="A109" s="444" t="s">
        <v>77</v>
      </c>
      <c r="B109" s="444" t="s">
        <v>808</v>
      </c>
      <c r="C109" s="447" t="s">
        <v>1280</v>
      </c>
      <c r="D109" s="445">
        <v>40000</v>
      </c>
      <c r="E109" s="445">
        <v>39500</v>
      </c>
      <c r="F109" s="445">
        <v>39500</v>
      </c>
      <c r="G109" s="445">
        <f t="shared" si="2"/>
        <v>500</v>
      </c>
      <c r="H109" s="445"/>
    </row>
    <row r="110" spans="1:8" ht="18.75">
      <c r="A110" s="444" t="s">
        <v>77</v>
      </c>
      <c r="B110" s="444" t="s">
        <v>808</v>
      </c>
      <c r="C110" s="447" t="s">
        <v>1281</v>
      </c>
      <c r="D110" s="445">
        <v>89000</v>
      </c>
      <c r="E110" s="445">
        <v>88000</v>
      </c>
      <c r="F110" s="445">
        <v>88000</v>
      </c>
      <c r="G110" s="445">
        <f t="shared" si="2"/>
        <v>1000</v>
      </c>
      <c r="H110" s="445"/>
    </row>
    <row r="111" spans="1:8" ht="18.75">
      <c r="A111" s="444" t="s">
        <v>77</v>
      </c>
      <c r="B111" s="444" t="s">
        <v>808</v>
      </c>
      <c r="C111" s="447" t="s">
        <v>1282</v>
      </c>
      <c r="D111" s="445">
        <v>20000</v>
      </c>
      <c r="E111" s="445">
        <v>19000</v>
      </c>
      <c r="F111" s="445">
        <v>19000</v>
      </c>
      <c r="G111" s="445">
        <f t="shared" si="2"/>
        <v>1000</v>
      </c>
      <c r="H111" s="445"/>
    </row>
    <row r="112" spans="1:8" ht="18.75">
      <c r="A112" s="444" t="s">
        <v>77</v>
      </c>
      <c r="B112" s="444" t="s">
        <v>808</v>
      </c>
      <c r="C112" s="447" t="s">
        <v>1283</v>
      </c>
      <c r="D112" s="445">
        <v>59000</v>
      </c>
      <c r="E112" s="445">
        <v>57000</v>
      </c>
      <c r="F112" s="445">
        <v>57000</v>
      </c>
      <c r="G112" s="445">
        <f t="shared" si="2"/>
        <v>2000</v>
      </c>
      <c r="H112" s="445"/>
    </row>
    <row r="113" spans="1:8" ht="18.75">
      <c r="A113" s="444" t="s">
        <v>77</v>
      </c>
      <c r="B113" s="444" t="s">
        <v>808</v>
      </c>
      <c r="C113" s="447" t="s">
        <v>1284</v>
      </c>
      <c r="D113" s="445">
        <v>38000</v>
      </c>
      <c r="E113" s="445">
        <v>36000</v>
      </c>
      <c r="F113" s="445">
        <v>36000</v>
      </c>
      <c r="G113" s="445">
        <f t="shared" si="2"/>
        <v>2000</v>
      </c>
      <c r="H113" s="445"/>
    </row>
    <row r="114" spans="1:8" ht="18.75">
      <c r="A114" s="444" t="s">
        <v>77</v>
      </c>
      <c r="B114" s="444" t="s">
        <v>808</v>
      </c>
      <c r="C114" s="447" t="s">
        <v>1285</v>
      </c>
      <c r="D114" s="445">
        <v>58000</v>
      </c>
      <c r="E114" s="445">
        <v>56000</v>
      </c>
      <c r="F114" s="445">
        <v>56000</v>
      </c>
      <c r="G114" s="445">
        <f t="shared" si="2"/>
        <v>2000</v>
      </c>
      <c r="H114" s="445"/>
    </row>
    <row r="115" spans="1:8" ht="18.75">
      <c r="A115" s="444" t="s">
        <v>77</v>
      </c>
      <c r="B115" s="444" t="s">
        <v>808</v>
      </c>
      <c r="C115" s="447" t="s">
        <v>1286</v>
      </c>
      <c r="D115" s="445">
        <v>29000</v>
      </c>
      <c r="E115" s="445">
        <v>27000</v>
      </c>
      <c r="F115" s="445">
        <v>27000</v>
      </c>
      <c r="G115" s="445">
        <f t="shared" si="2"/>
        <v>2000</v>
      </c>
      <c r="H115" s="445"/>
    </row>
    <row r="116" spans="1:8" ht="18.75">
      <c r="A116" s="444" t="s">
        <v>77</v>
      </c>
      <c r="B116" s="444" t="s">
        <v>808</v>
      </c>
      <c r="C116" s="447" t="s">
        <v>1287</v>
      </c>
      <c r="D116" s="445">
        <v>66000</v>
      </c>
      <c r="E116" s="445">
        <v>65000</v>
      </c>
      <c r="F116" s="445">
        <v>65000</v>
      </c>
      <c r="G116" s="445">
        <f t="shared" si="2"/>
        <v>1000</v>
      </c>
      <c r="H116" s="445"/>
    </row>
    <row r="117" spans="1:8" ht="18.75">
      <c r="A117" s="444" t="s">
        <v>77</v>
      </c>
      <c r="B117" s="444" t="s">
        <v>808</v>
      </c>
      <c r="C117" s="447" t="s">
        <v>1288</v>
      </c>
      <c r="D117" s="445">
        <v>40000</v>
      </c>
      <c r="E117" s="445">
        <v>39000</v>
      </c>
      <c r="F117" s="445">
        <v>39000</v>
      </c>
      <c r="G117" s="445">
        <f t="shared" si="2"/>
        <v>1000</v>
      </c>
      <c r="H117" s="445"/>
    </row>
    <row r="118" spans="1:8" ht="18.75">
      <c r="A118" s="444" t="s">
        <v>77</v>
      </c>
      <c r="B118" s="444" t="s">
        <v>808</v>
      </c>
      <c r="C118" s="447" t="s">
        <v>1289</v>
      </c>
      <c r="D118" s="445">
        <v>40000</v>
      </c>
      <c r="E118" s="445">
        <v>39000</v>
      </c>
      <c r="F118" s="445">
        <v>39000</v>
      </c>
      <c r="G118" s="445">
        <f t="shared" si="2"/>
        <v>1000</v>
      </c>
      <c r="H118" s="445"/>
    </row>
    <row r="119" spans="1:8" ht="18.75">
      <c r="A119" s="444" t="s">
        <v>77</v>
      </c>
      <c r="B119" s="444" t="s">
        <v>808</v>
      </c>
      <c r="C119" s="447" t="s">
        <v>1290</v>
      </c>
      <c r="D119" s="445">
        <v>40000</v>
      </c>
      <c r="E119" s="445">
        <v>39000</v>
      </c>
      <c r="F119" s="445">
        <v>39000</v>
      </c>
      <c r="G119" s="445">
        <f t="shared" si="2"/>
        <v>1000</v>
      </c>
      <c r="H119" s="445"/>
    </row>
    <row r="120" spans="1:8" ht="18.75">
      <c r="A120" s="444" t="s">
        <v>77</v>
      </c>
      <c r="B120" s="444" t="s">
        <v>808</v>
      </c>
      <c r="C120" s="447" t="s">
        <v>1291</v>
      </c>
      <c r="D120" s="445">
        <v>59000</v>
      </c>
      <c r="E120" s="445">
        <v>57000</v>
      </c>
      <c r="F120" s="445">
        <v>57000</v>
      </c>
      <c r="G120" s="445">
        <f t="shared" si="2"/>
        <v>2000</v>
      </c>
      <c r="H120" s="445"/>
    </row>
    <row r="121" spans="1:8" ht="18.75">
      <c r="A121" s="444" t="s">
        <v>77</v>
      </c>
      <c r="B121" s="444" t="s">
        <v>808</v>
      </c>
      <c r="C121" s="447" t="s">
        <v>1292</v>
      </c>
      <c r="D121" s="445">
        <v>65000</v>
      </c>
      <c r="E121" s="445">
        <v>63000</v>
      </c>
      <c r="F121" s="445">
        <v>63000</v>
      </c>
      <c r="G121" s="445">
        <f t="shared" si="2"/>
        <v>2000</v>
      </c>
      <c r="H121" s="445"/>
    </row>
    <row r="122" spans="1:8" ht="18.75">
      <c r="A122" s="444" t="s">
        <v>77</v>
      </c>
      <c r="B122" s="444" t="s">
        <v>808</v>
      </c>
      <c r="C122" s="447" t="s">
        <v>1293</v>
      </c>
      <c r="D122" s="445">
        <v>489000</v>
      </c>
      <c r="E122" s="445">
        <v>488000</v>
      </c>
      <c r="F122" s="445">
        <v>488000</v>
      </c>
      <c r="G122" s="445">
        <f t="shared" si="2"/>
        <v>1000</v>
      </c>
      <c r="H122" s="445"/>
    </row>
    <row r="123" spans="1:8" ht="18.75">
      <c r="A123" s="447"/>
      <c r="B123" s="447"/>
      <c r="C123" s="447"/>
      <c r="D123" s="582">
        <f>SUM(D102:D122)</f>
        <v>1545000</v>
      </c>
      <c r="E123" s="582">
        <f>SUM(E102:E122)</f>
        <v>1518500</v>
      </c>
      <c r="F123" s="582">
        <f>SUM(F102:F122)</f>
        <v>1518500</v>
      </c>
      <c r="G123" s="582">
        <f>SUM(G102:G122)</f>
        <v>26500</v>
      </c>
      <c r="H123" s="582"/>
    </row>
    <row r="124" spans="1:8" ht="18.75">
      <c r="A124" s="444" t="s">
        <v>77</v>
      </c>
      <c r="B124" s="444" t="s">
        <v>808</v>
      </c>
      <c r="C124" s="447" t="s">
        <v>239</v>
      </c>
      <c r="D124" s="445">
        <v>340000</v>
      </c>
      <c r="E124" s="445">
        <v>332500</v>
      </c>
      <c r="F124" s="445">
        <v>332500</v>
      </c>
      <c r="G124" s="445">
        <f>D124-F124</f>
        <v>7500</v>
      </c>
      <c r="H124" s="445"/>
    </row>
    <row r="125" spans="1:8" ht="18.75">
      <c r="A125" s="267"/>
      <c r="B125" s="267"/>
      <c r="C125" s="267"/>
      <c r="D125" s="446">
        <f>SUM(D123:D124)</f>
        <v>1885000</v>
      </c>
      <c r="E125" s="446">
        <f>SUM(E123:E124)</f>
        <v>1851000</v>
      </c>
      <c r="F125" s="446">
        <f>SUM(F123:F124)</f>
        <v>1851000</v>
      </c>
      <c r="G125" s="446">
        <f>SUM(G123:G124)</f>
        <v>34000</v>
      </c>
      <c r="H125" s="446"/>
    </row>
    <row r="126" spans="1:8" ht="18">
      <c r="A126" s="45"/>
      <c r="B126" s="45"/>
      <c r="C126" s="45"/>
      <c r="D126" s="45"/>
      <c r="E126" s="45"/>
      <c r="F126" s="45"/>
      <c r="G126" s="45"/>
      <c r="H126" s="45"/>
    </row>
    <row r="127" spans="1:8" ht="18">
      <c r="A127" s="45"/>
      <c r="B127" s="45"/>
      <c r="C127" s="45"/>
      <c r="D127" s="45"/>
      <c r="E127" s="45"/>
      <c r="F127" s="45"/>
      <c r="G127" s="45"/>
      <c r="H127" s="45"/>
    </row>
    <row r="128" spans="1:8" ht="18">
      <c r="A128" s="45"/>
      <c r="B128" s="45"/>
      <c r="C128" s="45"/>
      <c r="D128" s="45"/>
      <c r="E128" s="45"/>
      <c r="F128" s="45"/>
      <c r="G128" s="45"/>
      <c r="H128" s="45"/>
    </row>
    <row r="129" spans="1:8" ht="18">
      <c r="A129" s="45"/>
      <c r="B129" s="45"/>
      <c r="C129" s="45"/>
      <c r="D129" s="45"/>
      <c r="E129" s="45"/>
      <c r="F129" s="45"/>
      <c r="G129" s="45"/>
      <c r="H129" s="45"/>
    </row>
    <row r="130" spans="1:8" ht="18">
      <c r="A130" s="45"/>
      <c r="B130" s="45"/>
      <c r="C130" s="45"/>
      <c r="D130" s="45"/>
      <c r="E130" s="45"/>
      <c r="F130" s="45"/>
      <c r="G130" s="45"/>
      <c r="H130" s="45"/>
    </row>
    <row r="131" spans="1:8" ht="18">
      <c r="A131" s="45"/>
      <c r="B131" s="45"/>
      <c r="C131" s="45"/>
      <c r="D131" s="45"/>
      <c r="E131" s="45"/>
      <c r="F131" s="45"/>
      <c r="G131" s="45"/>
      <c r="H131" s="45"/>
    </row>
    <row r="132" spans="1:8" ht="18">
      <c r="A132" s="45"/>
      <c r="B132" s="45"/>
      <c r="C132" s="45"/>
      <c r="D132" s="45"/>
      <c r="E132" s="45"/>
      <c r="F132" s="45"/>
      <c r="G132" s="45"/>
      <c r="H132" s="45"/>
    </row>
    <row r="133" spans="1:8" ht="18">
      <c r="A133" s="45"/>
      <c r="B133" s="45"/>
      <c r="C133" s="45"/>
      <c r="D133" s="45"/>
      <c r="E133" s="45"/>
      <c r="F133" s="45"/>
      <c r="G133" s="45"/>
      <c r="H133" s="45"/>
    </row>
    <row r="134" spans="1:8" ht="18">
      <c r="A134" s="45"/>
      <c r="B134" s="45"/>
      <c r="C134" s="45"/>
      <c r="D134" s="45"/>
      <c r="E134" s="45"/>
      <c r="F134" s="45"/>
      <c r="G134" s="45"/>
      <c r="H134" s="45"/>
    </row>
    <row r="135" spans="1:8" ht="18">
      <c r="A135" s="45"/>
      <c r="B135" s="45"/>
      <c r="C135" s="45"/>
      <c r="D135" s="45"/>
      <c r="E135" s="45"/>
      <c r="F135" s="45"/>
      <c r="G135" s="45"/>
      <c r="H135" s="45"/>
    </row>
    <row r="136" spans="1:8" ht="18">
      <c r="A136" s="45"/>
      <c r="B136" s="45"/>
      <c r="C136" s="45"/>
      <c r="D136" s="45"/>
      <c r="E136" s="45"/>
      <c r="F136" s="45"/>
      <c r="G136" s="45"/>
      <c r="H136" s="45"/>
    </row>
    <row r="137" spans="1:8" ht="18">
      <c r="A137" s="45"/>
      <c r="B137" s="45"/>
      <c r="C137" s="45"/>
      <c r="D137" s="45"/>
      <c r="E137" s="45"/>
      <c r="F137" s="45"/>
      <c r="G137" s="45"/>
      <c r="H137" s="45"/>
    </row>
    <row r="138" spans="1:8" ht="18">
      <c r="A138" s="45"/>
      <c r="B138" s="45"/>
      <c r="C138" s="45"/>
      <c r="D138" s="45"/>
      <c r="E138" s="45"/>
      <c r="F138" s="45"/>
      <c r="G138" s="45"/>
      <c r="H138" s="45"/>
    </row>
    <row r="139" spans="1:8" ht="18">
      <c r="A139" s="45"/>
      <c r="B139" s="45"/>
      <c r="C139" s="45"/>
      <c r="D139" s="45"/>
      <c r="E139" s="45"/>
      <c r="F139" s="45"/>
      <c r="G139" s="45"/>
      <c r="H139" s="45"/>
    </row>
    <row r="140" spans="1:8" ht="18">
      <c r="A140" s="45"/>
      <c r="B140" s="45"/>
      <c r="C140" s="45"/>
      <c r="D140" s="45"/>
      <c r="E140" s="45"/>
      <c r="F140" s="45"/>
      <c r="G140" s="45"/>
      <c r="H140" s="45"/>
    </row>
    <row r="141" spans="1:8" ht="18">
      <c r="A141" s="45"/>
      <c r="B141" s="45"/>
      <c r="C141" s="45"/>
      <c r="D141" s="45"/>
      <c r="E141" s="45"/>
      <c r="F141" s="45"/>
      <c r="G141" s="45"/>
      <c r="H141" s="45"/>
    </row>
    <row r="142" spans="1:8" ht="18">
      <c r="A142" s="45"/>
      <c r="B142" s="45"/>
      <c r="C142" s="45"/>
      <c r="D142" s="45"/>
      <c r="E142" s="45"/>
      <c r="F142" s="45"/>
      <c r="G142" s="45"/>
      <c r="H142" s="45"/>
    </row>
    <row r="143" spans="1:8" ht="18">
      <c r="A143" s="45"/>
      <c r="B143" s="45"/>
      <c r="C143" s="45"/>
      <c r="D143" s="45"/>
      <c r="E143" s="45"/>
      <c r="F143" s="45"/>
      <c r="G143" s="45"/>
      <c r="H143" s="45"/>
    </row>
    <row r="144" spans="1:8" ht="18">
      <c r="A144" s="45"/>
      <c r="B144" s="45"/>
      <c r="C144" s="45"/>
      <c r="D144" s="45"/>
      <c r="E144" s="45"/>
      <c r="F144" s="45"/>
      <c r="G144" s="45"/>
      <c r="H144" s="45"/>
    </row>
    <row r="145" spans="1:8" ht="18">
      <c r="A145" s="45"/>
      <c r="B145" s="45"/>
      <c r="C145" s="45"/>
      <c r="D145" s="45"/>
      <c r="E145" s="45"/>
      <c r="F145" s="45"/>
      <c r="G145" s="45"/>
      <c r="H145" s="45"/>
    </row>
    <row r="146" spans="1:8" ht="18">
      <c r="A146" s="45"/>
      <c r="B146" s="45"/>
      <c r="C146" s="45"/>
      <c r="D146" s="45"/>
      <c r="E146" s="45"/>
      <c r="F146" s="45"/>
      <c r="G146" s="45"/>
      <c r="H146" s="45"/>
    </row>
    <row r="147" spans="1:8" ht="18">
      <c r="A147" s="45"/>
      <c r="B147" s="45"/>
      <c r="C147" s="45"/>
      <c r="D147" s="45"/>
      <c r="E147" s="45"/>
      <c r="F147" s="45"/>
      <c r="G147" s="45"/>
      <c r="H147" s="45"/>
    </row>
    <row r="148" spans="1:8" ht="18">
      <c r="A148" s="45"/>
      <c r="B148" s="45"/>
      <c r="C148" s="45"/>
      <c r="D148" s="45"/>
      <c r="E148" s="45"/>
      <c r="F148" s="45"/>
      <c r="G148" s="45"/>
      <c r="H148" s="45"/>
    </row>
    <row r="149" spans="1:8" ht="18">
      <c r="A149" s="45"/>
      <c r="B149" s="45"/>
      <c r="C149" s="45"/>
      <c r="D149" s="45"/>
      <c r="E149" s="45"/>
      <c r="F149" s="45"/>
      <c r="G149" s="45"/>
      <c r="H149" s="45"/>
    </row>
    <row r="150" spans="1:8" ht="18">
      <c r="A150" s="45"/>
      <c r="B150" s="45"/>
      <c r="C150" s="45"/>
      <c r="D150" s="45"/>
      <c r="E150" s="45"/>
      <c r="F150" s="45"/>
      <c r="G150" s="45"/>
      <c r="H150" s="45"/>
    </row>
    <row r="151" spans="1:8" ht="18">
      <c r="A151" s="45"/>
      <c r="B151" s="45"/>
      <c r="C151" s="45"/>
      <c r="D151" s="45"/>
      <c r="E151" s="45"/>
      <c r="F151" s="45"/>
      <c r="G151" s="45"/>
      <c r="H151" s="45"/>
    </row>
    <row r="152" spans="1:8" ht="18">
      <c r="A152" s="45"/>
      <c r="B152" s="45"/>
      <c r="C152" s="45"/>
      <c r="D152" s="45"/>
      <c r="E152" s="45"/>
      <c r="F152" s="45"/>
      <c r="G152" s="45"/>
      <c r="H152" s="45"/>
    </row>
    <row r="153" spans="1:8" ht="18">
      <c r="A153" s="45"/>
      <c r="B153" s="45"/>
      <c r="C153" s="45"/>
      <c r="D153" s="45"/>
      <c r="E153" s="45"/>
      <c r="F153" s="45"/>
      <c r="G153" s="45"/>
      <c r="H153" s="45"/>
    </row>
    <row r="154" spans="1:8" ht="18">
      <c r="A154" s="45"/>
      <c r="B154" s="45"/>
      <c r="C154" s="45"/>
      <c r="D154" s="45"/>
      <c r="E154" s="45"/>
      <c r="F154" s="45"/>
      <c r="G154" s="45"/>
      <c r="H154" s="45"/>
    </row>
    <row r="155" spans="1:8" ht="18">
      <c r="A155" s="45"/>
      <c r="B155" s="45"/>
      <c r="C155" s="45"/>
      <c r="D155" s="45"/>
      <c r="E155" s="45"/>
      <c r="F155" s="45"/>
      <c r="G155" s="45"/>
      <c r="H155" s="45"/>
    </row>
    <row r="156" spans="1:8" ht="18">
      <c r="A156" s="45"/>
      <c r="B156" s="45"/>
      <c r="C156" s="45"/>
      <c r="D156" s="45"/>
      <c r="E156" s="45"/>
      <c r="F156" s="45"/>
      <c r="G156" s="45"/>
      <c r="H156" s="45"/>
    </row>
    <row r="157" spans="1:8" ht="18">
      <c r="A157" s="45"/>
      <c r="B157" s="45"/>
      <c r="C157" s="45"/>
      <c r="D157" s="45"/>
      <c r="E157" s="45"/>
      <c r="F157" s="45"/>
      <c r="G157" s="45"/>
      <c r="H157" s="45"/>
    </row>
    <row r="158" spans="1:8" ht="18">
      <c r="A158" s="45"/>
      <c r="B158" s="45"/>
      <c r="C158" s="45"/>
      <c r="D158" s="45"/>
      <c r="E158" s="45"/>
      <c r="F158" s="45"/>
      <c r="G158" s="45"/>
      <c r="H158" s="45"/>
    </row>
    <row r="159" spans="1:8" ht="18">
      <c r="A159" s="45"/>
      <c r="B159" s="45"/>
      <c r="C159" s="45"/>
      <c r="D159" s="45"/>
      <c r="E159" s="45"/>
      <c r="F159" s="45"/>
      <c r="G159" s="45"/>
      <c r="H159" s="45"/>
    </row>
    <row r="160" spans="1:8" ht="18">
      <c r="A160" s="45"/>
      <c r="B160" s="45"/>
      <c r="C160" s="45"/>
      <c r="D160" s="45"/>
      <c r="E160" s="45"/>
      <c r="F160" s="45"/>
      <c r="G160" s="45"/>
      <c r="H160" s="45"/>
    </row>
    <row r="161" spans="1:8" ht="18">
      <c r="A161" s="45"/>
      <c r="B161" s="45"/>
      <c r="C161" s="45"/>
      <c r="D161" s="45"/>
      <c r="E161" s="45"/>
      <c r="F161" s="45"/>
      <c r="G161" s="45"/>
      <c r="H161" s="45"/>
    </row>
    <row r="162" spans="1:8" ht="18">
      <c r="A162" s="45"/>
      <c r="B162" s="45"/>
      <c r="C162" s="45"/>
      <c r="D162" s="45"/>
      <c r="E162" s="45"/>
      <c r="F162" s="45"/>
      <c r="G162" s="45"/>
      <c r="H162" s="45"/>
    </row>
    <row r="163" spans="1:8" ht="18">
      <c r="A163" s="45"/>
      <c r="B163" s="45"/>
      <c r="C163" s="45"/>
      <c r="D163" s="45"/>
      <c r="E163" s="45"/>
      <c r="F163" s="45"/>
      <c r="G163" s="45"/>
      <c r="H163" s="45"/>
    </row>
    <row r="164" spans="1:8" ht="18">
      <c r="A164" s="45"/>
      <c r="B164" s="45"/>
      <c r="C164" s="45"/>
      <c r="D164" s="45"/>
      <c r="E164" s="45"/>
      <c r="F164" s="45"/>
      <c r="G164" s="45"/>
      <c r="H164" s="45"/>
    </row>
    <row r="165" spans="1:8" ht="18">
      <c r="A165" s="386"/>
      <c r="B165" s="386"/>
      <c r="C165" s="386"/>
      <c r="D165" s="45"/>
      <c r="E165" s="45"/>
      <c r="F165" s="45"/>
      <c r="G165" s="385"/>
      <c r="H165" s="45"/>
    </row>
    <row r="166" spans="1:8" ht="18">
      <c r="A166" s="386"/>
      <c r="B166" s="386"/>
      <c r="C166" s="386"/>
      <c r="D166" s="45"/>
      <c r="E166" s="45"/>
      <c r="F166" s="45"/>
      <c r="G166" s="385"/>
      <c r="H166" s="45"/>
    </row>
    <row r="167" spans="1:8" ht="18">
      <c r="A167" s="386"/>
      <c r="B167" s="386"/>
      <c r="C167" s="386"/>
      <c r="D167" s="45"/>
      <c r="E167" s="45"/>
      <c r="F167" s="45"/>
      <c r="G167" s="385"/>
      <c r="H167" s="45"/>
    </row>
    <row r="168" spans="1:8" ht="18">
      <c r="A168" s="386"/>
      <c r="B168" s="386"/>
      <c r="C168" s="386"/>
      <c r="D168" s="45"/>
      <c r="E168" s="45"/>
      <c r="F168" s="45"/>
      <c r="G168" s="385"/>
      <c r="H168" s="45"/>
    </row>
    <row r="169" spans="1:8" ht="18">
      <c r="A169" s="386"/>
      <c r="B169" s="386"/>
      <c r="C169" s="386"/>
      <c r="D169" s="45"/>
      <c r="E169" s="45"/>
      <c r="F169" s="45"/>
      <c r="G169" s="385"/>
      <c r="H169" s="45"/>
    </row>
    <row r="170" spans="1:8" ht="18">
      <c r="A170" s="386"/>
      <c r="B170" s="386"/>
      <c r="C170" s="386"/>
      <c r="D170" s="45"/>
      <c r="E170" s="45"/>
      <c r="F170" s="45"/>
      <c r="G170" s="385"/>
      <c r="H170" s="45"/>
    </row>
    <row r="171" spans="1:8" ht="18">
      <c r="A171" s="386"/>
      <c r="B171" s="386"/>
      <c r="C171" s="386"/>
      <c r="D171" s="45"/>
      <c r="E171" s="45"/>
      <c r="F171" s="45"/>
      <c r="G171" s="385"/>
      <c r="H171" s="45"/>
    </row>
    <row r="172" spans="1:8" ht="18">
      <c r="A172" s="386"/>
      <c r="B172" s="386"/>
      <c r="C172" s="386"/>
      <c r="D172" s="45"/>
      <c r="E172" s="45"/>
      <c r="F172" s="45"/>
      <c r="G172" s="385"/>
      <c r="H172" s="45"/>
    </row>
    <row r="173" spans="1:8" ht="18">
      <c r="A173" s="386"/>
      <c r="B173" s="386"/>
      <c r="C173" s="386"/>
      <c r="D173" s="45"/>
      <c r="E173" s="45"/>
      <c r="F173" s="45"/>
      <c r="G173" s="385"/>
      <c r="H173" s="45"/>
    </row>
    <row r="174" spans="1:8" ht="18">
      <c r="A174" s="386"/>
      <c r="B174" s="386"/>
      <c r="C174" s="386"/>
      <c r="D174" s="45"/>
      <c r="E174" s="45"/>
      <c r="F174" s="45"/>
      <c r="G174" s="385"/>
      <c r="H174" s="45"/>
    </row>
    <row r="175" spans="1:8" ht="18">
      <c r="A175" s="386"/>
      <c r="B175" s="386"/>
      <c r="C175" s="386"/>
      <c r="D175" s="45"/>
      <c r="E175" s="45"/>
      <c r="F175" s="45"/>
      <c r="G175" s="385"/>
      <c r="H175" s="45"/>
    </row>
    <row r="176" spans="1:8" ht="18">
      <c r="A176" s="386"/>
      <c r="B176" s="386"/>
      <c r="C176" s="386"/>
      <c r="D176" s="45"/>
      <c r="E176" s="45"/>
      <c r="F176" s="45"/>
      <c r="G176" s="385"/>
      <c r="H176" s="45"/>
    </row>
    <row r="177" spans="1:8" ht="18">
      <c r="A177" s="386"/>
      <c r="B177" s="386"/>
      <c r="C177" s="386"/>
      <c r="D177" s="45"/>
      <c r="E177" s="45"/>
      <c r="F177" s="45"/>
      <c r="G177" s="385"/>
      <c r="H177" s="45"/>
    </row>
    <row r="178" spans="1:8" ht="18">
      <c r="A178" s="386"/>
      <c r="B178" s="386"/>
      <c r="C178" s="386"/>
      <c r="D178" s="45"/>
      <c r="E178" s="45"/>
      <c r="F178" s="45"/>
      <c r="G178" s="385"/>
      <c r="H178" s="45"/>
    </row>
    <row r="179" spans="1:8" ht="18">
      <c r="A179" s="386" t="s">
        <v>630</v>
      </c>
      <c r="B179" s="386"/>
      <c r="C179" s="386"/>
      <c r="D179" s="45"/>
      <c r="E179" s="45"/>
      <c r="F179" s="45"/>
      <c r="G179" s="385"/>
      <c r="H179" s="45"/>
    </row>
    <row r="180" spans="1:8" ht="18">
      <c r="A180" s="386" t="s">
        <v>115</v>
      </c>
      <c r="B180" s="386"/>
      <c r="C180" s="386"/>
      <c r="D180" s="45"/>
      <c r="E180" s="45"/>
      <c r="F180" s="45"/>
      <c r="G180" s="385"/>
      <c r="H180" s="45"/>
    </row>
    <row r="181" spans="1:8" ht="32.25" customHeight="1">
      <c r="A181" s="761" t="s">
        <v>50</v>
      </c>
      <c r="B181" s="761" t="s">
        <v>51</v>
      </c>
      <c r="C181" s="761" t="s">
        <v>41</v>
      </c>
      <c r="D181" s="762" t="s">
        <v>238</v>
      </c>
      <c r="E181" s="758" t="s">
        <v>60</v>
      </c>
      <c r="F181" s="758" t="s">
        <v>61</v>
      </c>
      <c r="G181" s="758" t="s">
        <v>62</v>
      </c>
      <c r="H181" s="758" t="s">
        <v>63</v>
      </c>
    </row>
    <row r="182" spans="1:8" ht="23.25" customHeight="1">
      <c r="A182" s="761"/>
      <c r="B182" s="761"/>
      <c r="C182" s="761"/>
      <c r="D182" s="763"/>
      <c r="E182" s="758"/>
      <c r="F182" s="758"/>
      <c r="G182" s="758"/>
      <c r="H182" s="758"/>
    </row>
    <row r="183" spans="1:8" ht="18">
      <c r="A183" s="387" t="s">
        <v>77</v>
      </c>
      <c r="B183" s="387" t="s">
        <v>808</v>
      </c>
      <c r="C183" s="581" t="s">
        <v>240</v>
      </c>
      <c r="D183" s="389">
        <v>56000</v>
      </c>
      <c r="E183" s="389">
        <v>55500</v>
      </c>
      <c r="F183" s="389">
        <v>55500</v>
      </c>
      <c r="G183" s="389">
        <f>D183-F183</f>
        <v>500</v>
      </c>
      <c r="H183" s="389"/>
    </row>
    <row r="184" spans="1:8" ht="18">
      <c r="A184" s="387" t="s">
        <v>77</v>
      </c>
      <c r="B184" s="387" t="s">
        <v>808</v>
      </c>
      <c r="C184" s="581" t="s">
        <v>241</v>
      </c>
      <c r="D184" s="389">
        <v>150000</v>
      </c>
      <c r="E184" s="389">
        <v>149500</v>
      </c>
      <c r="F184" s="389">
        <v>149500</v>
      </c>
      <c r="G184" s="389">
        <f t="shared" ref="G184:G215" si="3">D184-F184</f>
        <v>500</v>
      </c>
      <c r="H184" s="389"/>
    </row>
    <row r="185" spans="1:8" ht="18">
      <c r="A185" s="387" t="s">
        <v>77</v>
      </c>
      <c r="B185" s="387" t="s">
        <v>808</v>
      </c>
      <c r="C185" s="581" t="s">
        <v>242</v>
      </c>
      <c r="D185" s="389">
        <v>68600</v>
      </c>
      <c r="E185" s="389">
        <v>68000</v>
      </c>
      <c r="F185" s="389">
        <v>68000</v>
      </c>
      <c r="G185" s="389">
        <f t="shared" si="3"/>
        <v>600</v>
      </c>
      <c r="H185" s="389"/>
    </row>
    <row r="186" spans="1:8" ht="18">
      <c r="A186" s="387" t="s">
        <v>77</v>
      </c>
      <c r="B186" s="387" t="s">
        <v>808</v>
      </c>
      <c r="C186" s="581" t="s">
        <v>243</v>
      </c>
      <c r="D186" s="389">
        <v>200000</v>
      </c>
      <c r="E186" s="389">
        <v>199500</v>
      </c>
      <c r="F186" s="389">
        <v>199500</v>
      </c>
      <c r="G186" s="389">
        <f t="shared" si="3"/>
        <v>500</v>
      </c>
      <c r="H186" s="389"/>
    </row>
    <row r="187" spans="1:8" ht="18">
      <c r="A187" s="387" t="s">
        <v>77</v>
      </c>
      <c r="B187" s="387" t="s">
        <v>808</v>
      </c>
      <c r="C187" s="581" t="s">
        <v>244</v>
      </c>
      <c r="D187" s="389">
        <v>80000</v>
      </c>
      <c r="E187" s="389">
        <v>75000</v>
      </c>
      <c r="F187" s="389">
        <v>75000</v>
      </c>
      <c r="G187" s="389">
        <f t="shared" si="3"/>
        <v>5000</v>
      </c>
      <c r="H187" s="389"/>
    </row>
    <row r="188" spans="1:8" ht="18">
      <c r="A188" s="387" t="s">
        <v>77</v>
      </c>
      <c r="B188" s="387" t="s">
        <v>808</v>
      </c>
      <c r="C188" s="581" t="s">
        <v>245</v>
      </c>
      <c r="D188" s="389">
        <v>200000</v>
      </c>
      <c r="E188" s="389">
        <v>199500</v>
      </c>
      <c r="F188" s="389">
        <v>199500</v>
      </c>
      <c r="G188" s="389">
        <f t="shared" si="3"/>
        <v>500</v>
      </c>
      <c r="H188" s="389"/>
    </row>
    <row r="189" spans="1:8" ht="18">
      <c r="A189" s="387" t="s">
        <v>77</v>
      </c>
      <c r="B189" s="387" t="s">
        <v>808</v>
      </c>
      <c r="C189" s="581" t="s">
        <v>246</v>
      </c>
      <c r="D189" s="389">
        <v>100000</v>
      </c>
      <c r="E189" s="389">
        <v>99500</v>
      </c>
      <c r="F189" s="389">
        <v>99500</v>
      </c>
      <c r="G189" s="389">
        <f t="shared" si="3"/>
        <v>500</v>
      </c>
      <c r="H189" s="389"/>
    </row>
    <row r="190" spans="1:8" ht="18">
      <c r="A190" s="387" t="s">
        <v>77</v>
      </c>
      <c r="B190" s="387" t="s">
        <v>808</v>
      </c>
      <c r="C190" s="581" t="s">
        <v>247</v>
      </c>
      <c r="D190" s="389">
        <v>100000</v>
      </c>
      <c r="E190" s="389">
        <v>99500</v>
      </c>
      <c r="F190" s="389">
        <v>99500</v>
      </c>
      <c r="G190" s="389">
        <f t="shared" si="3"/>
        <v>500</v>
      </c>
      <c r="H190" s="389"/>
    </row>
    <row r="191" spans="1:8" ht="18">
      <c r="A191" s="387" t="s">
        <v>77</v>
      </c>
      <c r="B191" s="387" t="s">
        <v>808</v>
      </c>
      <c r="C191" s="581" t="s">
        <v>248</v>
      </c>
      <c r="D191" s="389">
        <v>74000</v>
      </c>
      <c r="E191" s="389">
        <v>70000</v>
      </c>
      <c r="F191" s="389">
        <v>70000</v>
      </c>
      <c r="G191" s="389">
        <f t="shared" si="3"/>
        <v>4000</v>
      </c>
      <c r="H191" s="389"/>
    </row>
    <row r="192" spans="1:8" ht="18">
      <c r="A192" s="387" t="s">
        <v>77</v>
      </c>
      <c r="B192" s="387" t="s">
        <v>808</v>
      </c>
      <c r="C192" s="581" t="s">
        <v>249</v>
      </c>
      <c r="D192" s="389">
        <v>100000</v>
      </c>
      <c r="E192" s="389">
        <v>99500</v>
      </c>
      <c r="F192" s="389">
        <v>99500</v>
      </c>
      <c r="G192" s="389">
        <f t="shared" si="3"/>
        <v>500</v>
      </c>
      <c r="H192" s="389"/>
    </row>
    <row r="193" spans="1:8" ht="18">
      <c r="A193" s="387" t="s">
        <v>77</v>
      </c>
      <c r="B193" s="387" t="s">
        <v>808</v>
      </c>
      <c r="C193" s="581" t="s">
        <v>250</v>
      </c>
      <c r="D193" s="389">
        <v>51000</v>
      </c>
      <c r="E193" s="389">
        <v>50500</v>
      </c>
      <c r="F193" s="389">
        <v>50500</v>
      </c>
      <c r="G193" s="389">
        <f t="shared" si="3"/>
        <v>500</v>
      </c>
      <c r="H193" s="389"/>
    </row>
    <row r="194" spans="1:8" ht="18">
      <c r="A194" s="387" t="s">
        <v>77</v>
      </c>
      <c r="B194" s="387" t="s">
        <v>808</v>
      </c>
      <c r="C194" s="581" t="s">
        <v>251</v>
      </c>
      <c r="D194" s="389">
        <v>200000</v>
      </c>
      <c r="E194" s="389">
        <v>199500</v>
      </c>
      <c r="F194" s="389">
        <v>199500</v>
      </c>
      <c r="G194" s="389">
        <f t="shared" si="3"/>
        <v>500</v>
      </c>
      <c r="H194" s="389"/>
    </row>
    <row r="195" spans="1:8" ht="18">
      <c r="A195" s="387" t="s">
        <v>77</v>
      </c>
      <c r="B195" s="387" t="s">
        <v>808</v>
      </c>
      <c r="C195" s="581" t="s">
        <v>252</v>
      </c>
      <c r="D195" s="389">
        <v>200000</v>
      </c>
      <c r="E195" s="389">
        <v>199500</v>
      </c>
      <c r="F195" s="389">
        <v>199500</v>
      </c>
      <c r="G195" s="389">
        <f t="shared" si="3"/>
        <v>500</v>
      </c>
      <c r="H195" s="389"/>
    </row>
    <row r="196" spans="1:8" ht="18">
      <c r="A196" s="387" t="s">
        <v>77</v>
      </c>
      <c r="B196" s="387" t="s">
        <v>808</v>
      </c>
      <c r="C196" s="581" t="s">
        <v>253</v>
      </c>
      <c r="D196" s="389">
        <v>100000</v>
      </c>
      <c r="E196" s="389">
        <v>99500</v>
      </c>
      <c r="F196" s="389">
        <v>99500</v>
      </c>
      <c r="G196" s="389">
        <f t="shared" si="3"/>
        <v>500</v>
      </c>
      <c r="H196" s="389"/>
    </row>
    <row r="197" spans="1:8" ht="18">
      <c r="A197" s="387" t="s">
        <v>77</v>
      </c>
      <c r="B197" s="387" t="s">
        <v>808</v>
      </c>
      <c r="C197" s="581" t="s">
        <v>254</v>
      </c>
      <c r="D197" s="389">
        <v>150000</v>
      </c>
      <c r="E197" s="389">
        <v>146000</v>
      </c>
      <c r="F197" s="389">
        <v>146000</v>
      </c>
      <c r="G197" s="389">
        <f t="shared" si="3"/>
        <v>4000</v>
      </c>
      <c r="H197" s="389"/>
    </row>
    <row r="198" spans="1:8" ht="18">
      <c r="A198" s="387" t="s">
        <v>77</v>
      </c>
      <c r="B198" s="387" t="s">
        <v>808</v>
      </c>
      <c r="C198" s="581" t="s">
        <v>255</v>
      </c>
      <c r="D198" s="389">
        <v>200000</v>
      </c>
      <c r="E198" s="389">
        <v>199500</v>
      </c>
      <c r="F198" s="389">
        <v>199500</v>
      </c>
      <c r="G198" s="389">
        <f t="shared" si="3"/>
        <v>500</v>
      </c>
      <c r="H198" s="389"/>
    </row>
    <row r="199" spans="1:8" ht="18">
      <c r="A199" s="387" t="s">
        <v>77</v>
      </c>
      <c r="B199" s="387" t="s">
        <v>808</v>
      </c>
      <c r="C199" s="581" t="s">
        <v>256</v>
      </c>
      <c r="D199" s="389">
        <v>60500</v>
      </c>
      <c r="E199" s="389">
        <v>60000</v>
      </c>
      <c r="F199" s="389">
        <v>60000</v>
      </c>
      <c r="G199" s="389">
        <f t="shared" si="3"/>
        <v>500</v>
      </c>
      <c r="H199" s="389"/>
    </row>
    <row r="200" spans="1:8" ht="18">
      <c r="A200" s="387" t="s">
        <v>77</v>
      </c>
      <c r="B200" s="387" t="s">
        <v>808</v>
      </c>
      <c r="C200" s="581" t="s">
        <v>257</v>
      </c>
      <c r="D200" s="389">
        <v>45800</v>
      </c>
      <c r="E200" s="389">
        <v>45300</v>
      </c>
      <c r="F200" s="389">
        <v>45300</v>
      </c>
      <c r="G200" s="389">
        <f t="shared" si="3"/>
        <v>500</v>
      </c>
      <c r="H200" s="389"/>
    </row>
    <row r="201" spans="1:8" ht="18">
      <c r="A201" s="387" t="s">
        <v>77</v>
      </c>
      <c r="B201" s="387" t="s">
        <v>808</v>
      </c>
      <c r="C201" s="583" t="s">
        <v>258</v>
      </c>
      <c r="D201" s="584">
        <v>62200</v>
      </c>
      <c r="E201" s="584">
        <v>62000</v>
      </c>
      <c r="F201" s="584">
        <v>62000</v>
      </c>
      <c r="G201" s="584">
        <f>D201-F201</f>
        <v>200</v>
      </c>
      <c r="H201" s="584"/>
    </row>
    <row r="202" spans="1:8" ht="18">
      <c r="A202" s="387" t="s">
        <v>77</v>
      </c>
      <c r="B202" s="387" t="s">
        <v>808</v>
      </c>
      <c r="C202" s="581" t="s">
        <v>259</v>
      </c>
      <c r="D202" s="389">
        <v>590000</v>
      </c>
      <c r="E202" s="389">
        <v>273000</v>
      </c>
      <c r="F202" s="389">
        <v>273000</v>
      </c>
      <c r="G202" s="389">
        <f>D202-F202</f>
        <v>317000</v>
      </c>
      <c r="H202" s="389"/>
    </row>
    <row r="203" spans="1:8" ht="18">
      <c r="A203" s="393"/>
      <c r="B203" s="393"/>
      <c r="C203" s="585"/>
      <c r="D203" s="586"/>
      <c r="E203" s="586"/>
      <c r="F203" s="586"/>
      <c r="G203" s="586"/>
      <c r="H203" s="586"/>
    </row>
    <row r="204" spans="1:8" ht="18">
      <c r="A204" s="393"/>
      <c r="B204" s="393"/>
      <c r="C204" s="585"/>
      <c r="D204" s="586"/>
      <c r="E204" s="586"/>
      <c r="F204" s="586"/>
      <c r="G204" s="586"/>
      <c r="H204" s="586"/>
    </row>
    <row r="205" spans="1:8" ht="18">
      <c r="A205" s="587"/>
      <c r="B205" s="587"/>
      <c r="C205" s="585"/>
      <c r="D205" s="586"/>
      <c r="E205" s="586"/>
      <c r="F205" s="586"/>
      <c r="G205" s="586"/>
      <c r="H205" s="586"/>
    </row>
    <row r="206" spans="1:8" ht="18">
      <c r="A206" s="587"/>
      <c r="B206" s="587"/>
      <c r="C206" s="585"/>
      <c r="D206" s="586"/>
      <c r="E206" s="586"/>
      <c r="F206" s="586"/>
      <c r="G206" s="586"/>
      <c r="H206" s="586"/>
    </row>
    <row r="207" spans="1:8" ht="18">
      <c r="A207" s="587"/>
      <c r="B207" s="587"/>
      <c r="C207" s="585"/>
      <c r="D207" s="586"/>
      <c r="E207" s="586"/>
      <c r="F207" s="586"/>
      <c r="G207" s="586"/>
      <c r="H207" s="586"/>
    </row>
    <row r="208" spans="1:8" s="588" customFormat="1" ht="18">
      <c r="A208" s="767">
        <v>2</v>
      </c>
      <c r="B208" s="767"/>
      <c r="C208" s="767"/>
      <c r="D208" s="767"/>
      <c r="E208" s="767"/>
      <c r="F208" s="767"/>
      <c r="G208" s="767"/>
      <c r="H208" s="767"/>
    </row>
    <row r="209" spans="1:8" ht="32.25" customHeight="1">
      <c r="A209" s="761" t="s">
        <v>50</v>
      </c>
      <c r="B209" s="761" t="s">
        <v>51</v>
      </c>
      <c r="C209" s="761" t="s">
        <v>41</v>
      </c>
      <c r="D209" s="762" t="s">
        <v>238</v>
      </c>
      <c r="E209" s="758" t="s">
        <v>60</v>
      </c>
      <c r="F209" s="758" t="s">
        <v>61</v>
      </c>
      <c r="G209" s="758" t="s">
        <v>62</v>
      </c>
      <c r="H209" s="758" t="s">
        <v>63</v>
      </c>
    </row>
    <row r="210" spans="1:8" ht="23.25" customHeight="1">
      <c r="A210" s="761"/>
      <c r="B210" s="761"/>
      <c r="C210" s="761"/>
      <c r="D210" s="763"/>
      <c r="E210" s="758"/>
      <c r="F210" s="758"/>
      <c r="G210" s="758"/>
      <c r="H210" s="758"/>
    </row>
    <row r="211" spans="1:8" ht="18">
      <c r="A211" s="387" t="s">
        <v>77</v>
      </c>
      <c r="B211" s="387" t="s">
        <v>808</v>
      </c>
      <c r="C211" s="581" t="s">
        <v>260</v>
      </c>
      <c r="D211" s="389">
        <v>1520000</v>
      </c>
      <c r="E211" s="389">
        <v>700000</v>
      </c>
      <c r="F211" s="389">
        <v>700000</v>
      </c>
      <c r="G211" s="389">
        <f t="shared" si="3"/>
        <v>820000</v>
      </c>
      <c r="H211" s="389"/>
    </row>
    <row r="212" spans="1:8" ht="18">
      <c r="A212" s="387" t="s">
        <v>77</v>
      </c>
      <c r="B212" s="387" t="s">
        <v>808</v>
      </c>
      <c r="C212" s="581" t="s">
        <v>239</v>
      </c>
      <c r="D212" s="389">
        <v>340000</v>
      </c>
      <c r="E212" s="389"/>
      <c r="F212" s="389"/>
      <c r="G212" s="389">
        <v>0</v>
      </c>
      <c r="H212" s="389">
        <v>340000</v>
      </c>
    </row>
    <row r="213" spans="1:8" ht="18">
      <c r="A213" s="387" t="s">
        <v>77</v>
      </c>
      <c r="B213" s="387" t="s">
        <v>808</v>
      </c>
      <c r="C213" s="581" t="s">
        <v>261</v>
      </c>
      <c r="D213" s="389">
        <v>500000</v>
      </c>
      <c r="E213" s="389">
        <v>500000</v>
      </c>
      <c r="F213" s="389">
        <v>498000</v>
      </c>
      <c r="G213" s="389">
        <f t="shared" si="3"/>
        <v>2000</v>
      </c>
      <c r="H213" s="389"/>
    </row>
    <row r="214" spans="1:8" ht="18">
      <c r="A214" s="387" t="s">
        <v>77</v>
      </c>
      <c r="B214" s="387" t="s">
        <v>808</v>
      </c>
      <c r="C214" s="581" t="s">
        <v>262</v>
      </c>
      <c r="D214" s="389">
        <v>500000</v>
      </c>
      <c r="E214" s="389">
        <v>498000</v>
      </c>
      <c r="F214" s="389">
        <v>498000</v>
      </c>
      <c r="G214" s="389">
        <f t="shared" si="3"/>
        <v>2000</v>
      </c>
      <c r="H214" s="389"/>
    </row>
    <row r="215" spans="1:8" ht="18">
      <c r="A215" s="387" t="s">
        <v>77</v>
      </c>
      <c r="B215" s="387" t="s">
        <v>808</v>
      </c>
      <c r="C215" s="581" t="s">
        <v>263</v>
      </c>
      <c r="D215" s="389">
        <v>239900</v>
      </c>
      <c r="E215" s="389">
        <v>227500</v>
      </c>
      <c r="F215" s="389">
        <v>227500</v>
      </c>
      <c r="G215" s="389">
        <f t="shared" si="3"/>
        <v>12400</v>
      </c>
      <c r="H215" s="389"/>
    </row>
    <row r="216" spans="1:8" ht="18">
      <c r="A216" s="764" t="s">
        <v>35</v>
      </c>
      <c r="B216" s="765"/>
      <c r="C216" s="766"/>
      <c r="D216" s="392">
        <f>SUM(D183:D215)</f>
        <v>5888000</v>
      </c>
      <c r="E216" s="392">
        <f>SUM(E183:E215)</f>
        <v>4375800</v>
      </c>
      <c r="F216" s="392">
        <f>SUM(F183:F215)</f>
        <v>4373800</v>
      </c>
      <c r="G216" s="392">
        <f>SUM(G183:G215)</f>
        <v>1174200</v>
      </c>
      <c r="H216" s="392">
        <f>SUM(H183:H215)</f>
        <v>340000</v>
      </c>
    </row>
  </sheetData>
  <mergeCells count="38">
    <mergeCell ref="G100:G101"/>
    <mergeCell ref="B100:B101"/>
    <mergeCell ref="C100:C101"/>
    <mergeCell ref="D100:D101"/>
    <mergeCell ref="E100:E101"/>
    <mergeCell ref="F100:F101"/>
    <mergeCell ref="A216:C216"/>
    <mergeCell ref="A81:C81"/>
    <mergeCell ref="A181:A182"/>
    <mergeCell ref="C181:C182"/>
    <mergeCell ref="D181:D182"/>
    <mergeCell ref="A209:A210"/>
    <mergeCell ref="C209:C210"/>
    <mergeCell ref="D209:D210"/>
    <mergeCell ref="B181:B182"/>
    <mergeCell ref="B209:B210"/>
    <mergeCell ref="A208:H208"/>
    <mergeCell ref="H181:H182"/>
    <mergeCell ref="E209:E210"/>
    <mergeCell ref="F209:F210"/>
    <mergeCell ref="G209:G210"/>
    <mergeCell ref="H209:H210"/>
    <mergeCell ref="G181:G182"/>
    <mergeCell ref="E181:E182"/>
    <mergeCell ref="F181:F182"/>
    <mergeCell ref="A3:H3"/>
    <mergeCell ref="A4:H4"/>
    <mergeCell ref="A5:H5"/>
    <mergeCell ref="A9:A10"/>
    <mergeCell ref="C9:C10"/>
    <mergeCell ref="D9:D10"/>
    <mergeCell ref="E9:E10"/>
    <mergeCell ref="F9:F10"/>
    <mergeCell ref="G9:G10"/>
    <mergeCell ref="H9:H10"/>
    <mergeCell ref="B9:B10"/>
    <mergeCell ref="H100:H101"/>
    <mergeCell ref="A100:A101"/>
  </mergeCells>
  <pageMargins left="0.19685039370078741" right="0.19685039370078741" top="0.31496062992125984" bottom="0.31496062992125984" header="0.31496062992125984" footer="0.31496062992125984"/>
  <pageSetup paperSize="9" scale="9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0"/>
  <sheetViews>
    <sheetView zoomScale="85" zoomScaleNormal="85" workbookViewId="0">
      <selection activeCell="M22" sqref="M22"/>
    </sheetView>
  </sheetViews>
  <sheetFormatPr defaultRowHeight="24.75"/>
  <cols>
    <col min="1" max="1" width="12.75" style="43" customWidth="1"/>
    <col min="2" max="2" width="20.5" style="43" customWidth="1"/>
    <col min="3" max="3" width="18.625" style="43" customWidth="1"/>
    <col min="4" max="4" width="15.875" style="56" customWidth="1"/>
    <col min="5" max="5" width="15" style="56" customWidth="1"/>
    <col min="6" max="6" width="13.625" style="56" customWidth="1"/>
    <col min="7" max="7" width="14.375" style="56" customWidth="1"/>
    <col min="8" max="8" width="16.125" style="56" customWidth="1"/>
    <col min="9" max="9" width="12.625" style="43" customWidth="1"/>
    <col min="10" max="256" width="9" style="43"/>
    <col min="257" max="257" width="12.75" style="43" customWidth="1"/>
    <col min="258" max="258" width="20.5" style="43" customWidth="1"/>
    <col min="259" max="259" width="18.625" style="43" customWidth="1"/>
    <col min="260" max="260" width="15.875" style="43" customWidth="1"/>
    <col min="261" max="261" width="15" style="43" customWidth="1"/>
    <col min="262" max="262" width="13.625" style="43" customWidth="1"/>
    <col min="263" max="263" width="14.375" style="43" customWidth="1"/>
    <col min="264" max="264" width="16.125" style="43" customWidth="1"/>
    <col min="265" max="265" width="12.625" style="43" customWidth="1"/>
    <col min="266" max="512" width="9" style="43"/>
    <col min="513" max="513" width="12.75" style="43" customWidth="1"/>
    <col min="514" max="514" width="20.5" style="43" customWidth="1"/>
    <col min="515" max="515" width="18.625" style="43" customWidth="1"/>
    <col min="516" max="516" width="15.875" style="43" customWidth="1"/>
    <col min="517" max="517" width="15" style="43" customWidth="1"/>
    <col min="518" max="518" width="13.625" style="43" customWidth="1"/>
    <col min="519" max="519" width="14.375" style="43" customWidth="1"/>
    <col min="520" max="520" width="16.125" style="43" customWidth="1"/>
    <col min="521" max="521" width="12.625" style="43" customWidth="1"/>
    <col min="522" max="768" width="9" style="43"/>
    <col min="769" max="769" width="12.75" style="43" customWidth="1"/>
    <col min="770" max="770" width="20.5" style="43" customWidth="1"/>
    <col min="771" max="771" width="18.625" style="43" customWidth="1"/>
    <col min="772" max="772" width="15.875" style="43" customWidth="1"/>
    <col min="773" max="773" width="15" style="43" customWidth="1"/>
    <col min="774" max="774" width="13.625" style="43" customWidth="1"/>
    <col min="775" max="775" width="14.375" style="43" customWidth="1"/>
    <col min="776" max="776" width="16.125" style="43" customWidth="1"/>
    <col min="777" max="777" width="12.625" style="43" customWidth="1"/>
    <col min="778" max="1024" width="9" style="43"/>
    <col min="1025" max="1025" width="12.75" style="43" customWidth="1"/>
    <col min="1026" max="1026" width="20.5" style="43" customWidth="1"/>
    <col min="1027" max="1027" width="18.625" style="43" customWidth="1"/>
    <col min="1028" max="1028" width="15.875" style="43" customWidth="1"/>
    <col min="1029" max="1029" width="15" style="43" customWidth="1"/>
    <col min="1030" max="1030" width="13.625" style="43" customWidth="1"/>
    <col min="1031" max="1031" width="14.375" style="43" customWidth="1"/>
    <col min="1032" max="1032" width="16.125" style="43" customWidth="1"/>
    <col min="1033" max="1033" width="12.625" style="43" customWidth="1"/>
    <col min="1034" max="1280" width="9" style="43"/>
    <col min="1281" max="1281" width="12.75" style="43" customWidth="1"/>
    <col min="1282" max="1282" width="20.5" style="43" customWidth="1"/>
    <col min="1283" max="1283" width="18.625" style="43" customWidth="1"/>
    <col min="1284" max="1284" width="15.875" style="43" customWidth="1"/>
    <col min="1285" max="1285" width="15" style="43" customWidth="1"/>
    <col min="1286" max="1286" width="13.625" style="43" customWidth="1"/>
    <col min="1287" max="1287" width="14.375" style="43" customWidth="1"/>
    <col min="1288" max="1288" width="16.125" style="43" customWidth="1"/>
    <col min="1289" max="1289" width="12.625" style="43" customWidth="1"/>
    <col min="1290" max="1536" width="9" style="43"/>
    <col min="1537" max="1537" width="12.75" style="43" customWidth="1"/>
    <col min="1538" max="1538" width="20.5" style="43" customWidth="1"/>
    <col min="1539" max="1539" width="18.625" style="43" customWidth="1"/>
    <col min="1540" max="1540" width="15.875" style="43" customWidth="1"/>
    <col min="1541" max="1541" width="15" style="43" customWidth="1"/>
    <col min="1542" max="1542" width="13.625" style="43" customWidth="1"/>
    <col min="1543" max="1543" width="14.375" style="43" customWidth="1"/>
    <col min="1544" max="1544" width="16.125" style="43" customWidth="1"/>
    <col min="1545" max="1545" width="12.625" style="43" customWidth="1"/>
    <col min="1546" max="1792" width="9" style="43"/>
    <col min="1793" max="1793" width="12.75" style="43" customWidth="1"/>
    <col min="1794" max="1794" width="20.5" style="43" customWidth="1"/>
    <col min="1795" max="1795" width="18.625" style="43" customWidth="1"/>
    <col min="1796" max="1796" width="15.875" style="43" customWidth="1"/>
    <col min="1797" max="1797" width="15" style="43" customWidth="1"/>
    <col min="1798" max="1798" width="13.625" style="43" customWidth="1"/>
    <col min="1799" max="1799" width="14.375" style="43" customWidth="1"/>
    <col min="1800" max="1800" width="16.125" style="43" customWidth="1"/>
    <col min="1801" max="1801" width="12.625" style="43" customWidth="1"/>
    <col min="1802" max="2048" width="9" style="43"/>
    <col min="2049" max="2049" width="12.75" style="43" customWidth="1"/>
    <col min="2050" max="2050" width="20.5" style="43" customWidth="1"/>
    <col min="2051" max="2051" width="18.625" style="43" customWidth="1"/>
    <col min="2052" max="2052" width="15.875" style="43" customWidth="1"/>
    <col min="2053" max="2053" width="15" style="43" customWidth="1"/>
    <col min="2054" max="2054" width="13.625" style="43" customWidth="1"/>
    <col min="2055" max="2055" width="14.375" style="43" customWidth="1"/>
    <col min="2056" max="2056" width="16.125" style="43" customWidth="1"/>
    <col min="2057" max="2057" width="12.625" style="43" customWidth="1"/>
    <col min="2058" max="2304" width="9" style="43"/>
    <col min="2305" max="2305" width="12.75" style="43" customWidth="1"/>
    <col min="2306" max="2306" width="20.5" style="43" customWidth="1"/>
    <col min="2307" max="2307" width="18.625" style="43" customWidth="1"/>
    <col min="2308" max="2308" width="15.875" style="43" customWidth="1"/>
    <col min="2309" max="2309" width="15" style="43" customWidth="1"/>
    <col min="2310" max="2310" width="13.625" style="43" customWidth="1"/>
    <col min="2311" max="2311" width="14.375" style="43" customWidth="1"/>
    <col min="2312" max="2312" width="16.125" style="43" customWidth="1"/>
    <col min="2313" max="2313" width="12.625" style="43" customWidth="1"/>
    <col min="2314" max="2560" width="9" style="43"/>
    <col min="2561" max="2561" width="12.75" style="43" customWidth="1"/>
    <col min="2562" max="2562" width="20.5" style="43" customWidth="1"/>
    <col min="2563" max="2563" width="18.625" style="43" customWidth="1"/>
    <col min="2564" max="2564" width="15.875" style="43" customWidth="1"/>
    <col min="2565" max="2565" width="15" style="43" customWidth="1"/>
    <col min="2566" max="2566" width="13.625" style="43" customWidth="1"/>
    <col min="2567" max="2567" width="14.375" style="43" customWidth="1"/>
    <col min="2568" max="2568" width="16.125" style="43" customWidth="1"/>
    <col min="2569" max="2569" width="12.625" style="43" customWidth="1"/>
    <col min="2570" max="2816" width="9" style="43"/>
    <col min="2817" max="2817" width="12.75" style="43" customWidth="1"/>
    <col min="2818" max="2818" width="20.5" style="43" customWidth="1"/>
    <col min="2819" max="2819" width="18.625" style="43" customWidth="1"/>
    <col min="2820" max="2820" width="15.875" style="43" customWidth="1"/>
    <col min="2821" max="2821" width="15" style="43" customWidth="1"/>
    <col min="2822" max="2822" width="13.625" style="43" customWidth="1"/>
    <col min="2823" max="2823" width="14.375" style="43" customWidth="1"/>
    <col min="2824" max="2824" width="16.125" style="43" customWidth="1"/>
    <col min="2825" max="2825" width="12.625" style="43" customWidth="1"/>
    <col min="2826" max="3072" width="9" style="43"/>
    <col min="3073" max="3073" width="12.75" style="43" customWidth="1"/>
    <col min="3074" max="3074" width="20.5" style="43" customWidth="1"/>
    <col min="3075" max="3075" width="18.625" style="43" customWidth="1"/>
    <col min="3076" max="3076" width="15.875" style="43" customWidth="1"/>
    <col min="3077" max="3077" width="15" style="43" customWidth="1"/>
    <col min="3078" max="3078" width="13.625" style="43" customWidth="1"/>
    <col min="3079" max="3079" width="14.375" style="43" customWidth="1"/>
    <col min="3080" max="3080" width="16.125" style="43" customWidth="1"/>
    <col min="3081" max="3081" width="12.625" style="43" customWidth="1"/>
    <col min="3082" max="3328" width="9" style="43"/>
    <col min="3329" max="3329" width="12.75" style="43" customWidth="1"/>
    <col min="3330" max="3330" width="20.5" style="43" customWidth="1"/>
    <col min="3331" max="3331" width="18.625" style="43" customWidth="1"/>
    <col min="3332" max="3332" width="15.875" style="43" customWidth="1"/>
    <col min="3333" max="3333" width="15" style="43" customWidth="1"/>
    <col min="3334" max="3334" width="13.625" style="43" customWidth="1"/>
    <col min="3335" max="3335" width="14.375" style="43" customWidth="1"/>
    <col min="3336" max="3336" width="16.125" style="43" customWidth="1"/>
    <col min="3337" max="3337" width="12.625" style="43" customWidth="1"/>
    <col min="3338" max="3584" width="9" style="43"/>
    <col min="3585" max="3585" width="12.75" style="43" customWidth="1"/>
    <col min="3586" max="3586" width="20.5" style="43" customWidth="1"/>
    <col min="3587" max="3587" width="18.625" style="43" customWidth="1"/>
    <col min="3588" max="3588" width="15.875" style="43" customWidth="1"/>
    <col min="3589" max="3589" width="15" style="43" customWidth="1"/>
    <col min="3590" max="3590" width="13.625" style="43" customWidth="1"/>
    <col min="3591" max="3591" width="14.375" style="43" customWidth="1"/>
    <col min="3592" max="3592" width="16.125" style="43" customWidth="1"/>
    <col min="3593" max="3593" width="12.625" style="43" customWidth="1"/>
    <col min="3594" max="3840" width="9" style="43"/>
    <col min="3841" max="3841" width="12.75" style="43" customWidth="1"/>
    <col min="3842" max="3842" width="20.5" style="43" customWidth="1"/>
    <col min="3843" max="3843" width="18.625" style="43" customWidth="1"/>
    <col min="3844" max="3844" width="15.875" style="43" customWidth="1"/>
    <col min="3845" max="3845" width="15" style="43" customWidth="1"/>
    <col min="3846" max="3846" width="13.625" style="43" customWidth="1"/>
    <col min="3847" max="3847" width="14.375" style="43" customWidth="1"/>
    <col min="3848" max="3848" width="16.125" style="43" customWidth="1"/>
    <col min="3849" max="3849" width="12.625" style="43" customWidth="1"/>
    <col min="3850" max="4096" width="9" style="43"/>
    <col min="4097" max="4097" width="12.75" style="43" customWidth="1"/>
    <col min="4098" max="4098" width="20.5" style="43" customWidth="1"/>
    <col min="4099" max="4099" width="18.625" style="43" customWidth="1"/>
    <col min="4100" max="4100" width="15.875" style="43" customWidth="1"/>
    <col min="4101" max="4101" width="15" style="43" customWidth="1"/>
    <col min="4102" max="4102" width="13.625" style="43" customWidth="1"/>
    <col min="4103" max="4103" width="14.375" style="43" customWidth="1"/>
    <col min="4104" max="4104" width="16.125" style="43" customWidth="1"/>
    <col min="4105" max="4105" width="12.625" style="43" customWidth="1"/>
    <col min="4106" max="4352" width="9" style="43"/>
    <col min="4353" max="4353" width="12.75" style="43" customWidth="1"/>
    <col min="4354" max="4354" width="20.5" style="43" customWidth="1"/>
    <col min="4355" max="4355" width="18.625" style="43" customWidth="1"/>
    <col min="4356" max="4356" width="15.875" style="43" customWidth="1"/>
    <col min="4357" max="4357" width="15" style="43" customWidth="1"/>
    <col min="4358" max="4358" width="13.625" style="43" customWidth="1"/>
    <col min="4359" max="4359" width="14.375" style="43" customWidth="1"/>
    <col min="4360" max="4360" width="16.125" style="43" customWidth="1"/>
    <col min="4361" max="4361" width="12.625" style="43" customWidth="1"/>
    <col min="4362" max="4608" width="9" style="43"/>
    <col min="4609" max="4609" width="12.75" style="43" customWidth="1"/>
    <col min="4610" max="4610" width="20.5" style="43" customWidth="1"/>
    <col min="4611" max="4611" width="18.625" style="43" customWidth="1"/>
    <col min="4612" max="4612" width="15.875" style="43" customWidth="1"/>
    <col min="4613" max="4613" width="15" style="43" customWidth="1"/>
    <col min="4614" max="4614" width="13.625" style="43" customWidth="1"/>
    <col min="4615" max="4615" width="14.375" style="43" customWidth="1"/>
    <col min="4616" max="4616" width="16.125" style="43" customWidth="1"/>
    <col min="4617" max="4617" width="12.625" style="43" customWidth="1"/>
    <col min="4618" max="4864" width="9" style="43"/>
    <col min="4865" max="4865" width="12.75" style="43" customWidth="1"/>
    <col min="4866" max="4866" width="20.5" style="43" customWidth="1"/>
    <col min="4867" max="4867" width="18.625" style="43" customWidth="1"/>
    <col min="4868" max="4868" width="15.875" style="43" customWidth="1"/>
    <col min="4869" max="4869" width="15" style="43" customWidth="1"/>
    <col min="4870" max="4870" width="13.625" style="43" customWidth="1"/>
    <col min="4871" max="4871" width="14.375" style="43" customWidth="1"/>
    <col min="4872" max="4872" width="16.125" style="43" customWidth="1"/>
    <col min="4873" max="4873" width="12.625" style="43" customWidth="1"/>
    <col min="4874" max="5120" width="9" style="43"/>
    <col min="5121" max="5121" width="12.75" style="43" customWidth="1"/>
    <col min="5122" max="5122" width="20.5" style="43" customWidth="1"/>
    <col min="5123" max="5123" width="18.625" style="43" customWidth="1"/>
    <col min="5124" max="5124" width="15.875" style="43" customWidth="1"/>
    <col min="5125" max="5125" width="15" style="43" customWidth="1"/>
    <col min="5126" max="5126" width="13.625" style="43" customWidth="1"/>
    <col min="5127" max="5127" width="14.375" style="43" customWidth="1"/>
    <col min="5128" max="5128" width="16.125" style="43" customWidth="1"/>
    <col min="5129" max="5129" width="12.625" style="43" customWidth="1"/>
    <col min="5130" max="5376" width="9" style="43"/>
    <col min="5377" max="5377" width="12.75" style="43" customWidth="1"/>
    <col min="5378" max="5378" width="20.5" style="43" customWidth="1"/>
    <col min="5379" max="5379" width="18.625" style="43" customWidth="1"/>
    <col min="5380" max="5380" width="15.875" style="43" customWidth="1"/>
    <col min="5381" max="5381" width="15" style="43" customWidth="1"/>
    <col min="5382" max="5382" width="13.625" style="43" customWidth="1"/>
    <col min="5383" max="5383" width="14.375" style="43" customWidth="1"/>
    <col min="5384" max="5384" width="16.125" style="43" customWidth="1"/>
    <col min="5385" max="5385" width="12.625" style="43" customWidth="1"/>
    <col min="5386" max="5632" width="9" style="43"/>
    <col min="5633" max="5633" width="12.75" style="43" customWidth="1"/>
    <col min="5634" max="5634" width="20.5" style="43" customWidth="1"/>
    <col min="5635" max="5635" width="18.625" style="43" customWidth="1"/>
    <col min="5636" max="5636" width="15.875" style="43" customWidth="1"/>
    <col min="5637" max="5637" width="15" style="43" customWidth="1"/>
    <col min="5638" max="5638" width="13.625" style="43" customWidth="1"/>
    <col min="5639" max="5639" width="14.375" style="43" customWidth="1"/>
    <col min="5640" max="5640" width="16.125" style="43" customWidth="1"/>
    <col min="5641" max="5641" width="12.625" style="43" customWidth="1"/>
    <col min="5642" max="5888" width="9" style="43"/>
    <col min="5889" max="5889" width="12.75" style="43" customWidth="1"/>
    <col min="5890" max="5890" width="20.5" style="43" customWidth="1"/>
    <col min="5891" max="5891" width="18.625" style="43" customWidth="1"/>
    <col min="5892" max="5892" width="15.875" style="43" customWidth="1"/>
    <col min="5893" max="5893" width="15" style="43" customWidth="1"/>
    <col min="5894" max="5894" width="13.625" style="43" customWidth="1"/>
    <col min="5895" max="5895" width="14.375" style="43" customWidth="1"/>
    <col min="5896" max="5896" width="16.125" style="43" customWidth="1"/>
    <col min="5897" max="5897" width="12.625" style="43" customWidth="1"/>
    <col min="5898" max="6144" width="9" style="43"/>
    <col min="6145" max="6145" width="12.75" style="43" customWidth="1"/>
    <col min="6146" max="6146" width="20.5" style="43" customWidth="1"/>
    <col min="6147" max="6147" width="18.625" style="43" customWidth="1"/>
    <col min="6148" max="6148" width="15.875" style="43" customWidth="1"/>
    <col min="6149" max="6149" width="15" style="43" customWidth="1"/>
    <col min="6150" max="6150" width="13.625" style="43" customWidth="1"/>
    <col min="6151" max="6151" width="14.375" style="43" customWidth="1"/>
    <col min="6152" max="6152" width="16.125" style="43" customWidth="1"/>
    <col min="6153" max="6153" width="12.625" style="43" customWidth="1"/>
    <col min="6154" max="6400" width="9" style="43"/>
    <col min="6401" max="6401" width="12.75" style="43" customWidth="1"/>
    <col min="6402" max="6402" width="20.5" style="43" customWidth="1"/>
    <col min="6403" max="6403" width="18.625" style="43" customWidth="1"/>
    <col min="6404" max="6404" width="15.875" style="43" customWidth="1"/>
    <col min="6405" max="6405" width="15" style="43" customWidth="1"/>
    <col min="6406" max="6406" width="13.625" style="43" customWidth="1"/>
    <col min="6407" max="6407" width="14.375" style="43" customWidth="1"/>
    <col min="6408" max="6408" width="16.125" style="43" customWidth="1"/>
    <col min="6409" max="6409" width="12.625" style="43" customWidth="1"/>
    <col min="6410" max="6656" width="9" style="43"/>
    <col min="6657" max="6657" width="12.75" style="43" customWidth="1"/>
    <col min="6658" max="6658" width="20.5" style="43" customWidth="1"/>
    <col min="6659" max="6659" width="18.625" style="43" customWidth="1"/>
    <col min="6660" max="6660" width="15.875" style="43" customWidth="1"/>
    <col min="6661" max="6661" width="15" style="43" customWidth="1"/>
    <col min="6662" max="6662" width="13.625" style="43" customWidth="1"/>
    <col min="6663" max="6663" width="14.375" style="43" customWidth="1"/>
    <col min="6664" max="6664" width="16.125" style="43" customWidth="1"/>
    <col min="6665" max="6665" width="12.625" style="43" customWidth="1"/>
    <col min="6666" max="6912" width="9" style="43"/>
    <col min="6913" max="6913" width="12.75" style="43" customWidth="1"/>
    <col min="6914" max="6914" width="20.5" style="43" customWidth="1"/>
    <col min="6915" max="6915" width="18.625" style="43" customWidth="1"/>
    <col min="6916" max="6916" width="15.875" style="43" customWidth="1"/>
    <col min="6917" max="6917" width="15" style="43" customWidth="1"/>
    <col min="6918" max="6918" width="13.625" style="43" customWidth="1"/>
    <col min="6919" max="6919" width="14.375" style="43" customWidth="1"/>
    <col min="6920" max="6920" width="16.125" style="43" customWidth="1"/>
    <col min="6921" max="6921" width="12.625" style="43" customWidth="1"/>
    <col min="6922" max="7168" width="9" style="43"/>
    <col min="7169" max="7169" width="12.75" style="43" customWidth="1"/>
    <col min="7170" max="7170" width="20.5" style="43" customWidth="1"/>
    <col min="7171" max="7171" width="18.625" style="43" customWidth="1"/>
    <col min="7172" max="7172" width="15.875" style="43" customWidth="1"/>
    <col min="7173" max="7173" width="15" style="43" customWidth="1"/>
    <col min="7174" max="7174" width="13.625" style="43" customWidth="1"/>
    <col min="7175" max="7175" width="14.375" style="43" customWidth="1"/>
    <col min="7176" max="7176" width="16.125" style="43" customWidth="1"/>
    <col min="7177" max="7177" width="12.625" style="43" customWidth="1"/>
    <col min="7178" max="7424" width="9" style="43"/>
    <col min="7425" max="7425" width="12.75" style="43" customWidth="1"/>
    <col min="7426" max="7426" width="20.5" style="43" customWidth="1"/>
    <col min="7427" max="7427" width="18.625" style="43" customWidth="1"/>
    <col min="7428" max="7428" width="15.875" style="43" customWidth="1"/>
    <col min="7429" max="7429" width="15" style="43" customWidth="1"/>
    <col min="7430" max="7430" width="13.625" style="43" customWidth="1"/>
    <col min="7431" max="7431" width="14.375" style="43" customWidth="1"/>
    <col min="7432" max="7432" width="16.125" style="43" customWidth="1"/>
    <col min="7433" max="7433" width="12.625" style="43" customWidth="1"/>
    <col min="7434" max="7680" width="9" style="43"/>
    <col min="7681" max="7681" width="12.75" style="43" customWidth="1"/>
    <col min="7682" max="7682" width="20.5" style="43" customWidth="1"/>
    <col min="7683" max="7683" width="18.625" style="43" customWidth="1"/>
    <col min="7684" max="7684" width="15.875" style="43" customWidth="1"/>
    <col min="7685" max="7685" width="15" style="43" customWidth="1"/>
    <col min="7686" max="7686" width="13.625" style="43" customWidth="1"/>
    <col min="7687" max="7687" width="14.375" style="43" customWidth="1"/>
    <col min="7688" max="7688" width="16.125" style="43" customWidth="1"/>
    <col min="7689" max="7689" width="12.625" style="43" customWidth="1"/>
    <col min="7690" max="7936" width="9" style="43"/>
    <col min="7937" max="7937" width="12.75" style="43" customWidth="1"/>
    <col min="7938" max="7938" width="20.5" style="43" customWidth="1"/>
    <col min="7939" max="7939" width="18.625" style="43" customWidth="1"/>
    <col min="7940" max="7940" width="15.875" style="43" customWidth="1"/>
    <col min="7941" max="7941" width="15" style="43" customWidth="1"/>
    <col min="7942" max="7942" width="13.625" style="43" customWidth="1"/>
    <col min="7943" max="7943" width="14.375" style="43" customWidth="1"/>
    <col min="7944" max="7944" width="16.125" style="43" customWidth="1"/>
    <col min="7945" max="7945" width="12.625" style="43" customWidth="1"/>
    <col min="7946" max="8192" width="9" style="43"/>
    <col min="8193" max="8193" width="12.75" style="43" customWidth="1"/>
    <col min="8194" max="8194" width="20.5" style="43" customWidth="1"/>
    <col min="8195" max="8195" width="18.625" style="43" customWidth="1"/>
    <col min="8196" max="8196" width="15.875" style="43" customWidth="1"/>
    <col min="8197" max="8197" width="15" style="43" customWidth="1"/>
    <col min="8198" max="8198" width="13.625" style="43" customWidth="1"/>
    <col min="8199" max="8199" width="14.375" style="43" customWidth="1"/>
    <col min="8200" max="8200" width="16.125" style="43" customWidth="1"/>
    <col min="8201" max="8201" width="12.625" style="43" customWidth="1"/>
    <col min="8202" max="8448" width="9" style="43"/>
    <col min="8449" max="8449" width="12.75" style="43" customWidth="1"/>
    <col min="8450" max="8450" width="20.5" style="43" customWidth="1"/>
    <col min="8451" max="8451" width="18.625" style="43" customWidth="1"/>
    <col min="8452" max="8452" width="15.875" style="43" customWidth="1"/>
    <col min="8453" max="8453" width="15" style="43" customWidth="1"/>
    <col min="8454" max="8454" width="13.625" style="43" customWidth="1"/>
    <col min="8455" max="8455" width="14.375" style="43" customWidth="1"/>
    <col min="8456" max="8456" width="16.125" style="43" customWidth="1"/>
    <col min="8457" max="8457" width="12.625" style="43" customWidth="1"/>
    <col min="8458" max="8704" width="9" style="43"/>
    <col min="8705" max="8705" width="12.75" style="43" customWidth="1"/>
    <col min="8706" max="8706" width="20.5" style="43" customWidth="1"/>
    <col min="8707" max="8707" width="18.625" style="43" customWidth="1"/>
    <col min="8708" max="8708" width="15.875" style="43" customWidth="1"/>
    <col min="8709" max="8709" width="15" style="43" customWidth="1"/>
    <col min="8710" max="8710" width="13.625" style="43" customWidth="1"/>
    <col min="8711" max="8711" width="14.375" style="43" customWidth="1"/>
    <col min="8712" max="8712" width="16.125" style="43" customWidth="1"/>
    <col min="8713" max="8713" width="12.625" style="43" customWidth="1"/>
    <col min="8714" max="8960" width="9" style="43"/>
    <col min="8961" max="8961" width="12.75" style="43" customWidth="1"/>
    <col min="8962" max="8962" width="20.5" style="43" customWidth="1"/>
    <col min="8963" max="8963" width="18.625" style="43" customWidth="1"/>
    <col min="8964" max="8964" width="15.875" style="43" customWidth="1"/>
    <col min="8965" max="8965" width="15" style="43" customWidth="1"/>
    <col min="8966" max="8966" width="13.625" style="43" customWidth="1"/>
    <col min="8967" max="8967" width="14.375" style="43" customWidth="1"/>
    <col min="8968" max="8968" width="16.125" style="43" customWidth="1"/>
    <col min="8969" max="8969" width="12.625" style="43" customWidth="1"/>
    <col min="8970" max="9216" width="9" style="43"/>
    <col min="9217" max="9217" width="12.75" style="43" customWidth="1"/>
    <col min="9218" max="9218" width="20.5" style="43" customWidth="1"/>
    <col min="9219" max="9219" width="18.625" style="43" customWidth="1"/>
    <col min="9220" max="9220" width="15.875" style="43" customWidth="1"/>
    <col min="9221" max="9221" width="15" style="43" customWidth="1"/>
    <col min="9222" max="9222" width="13.625" style="43" customWidth="1"/>
    <col min="9223" max="9223" width="14.375" style="43" customWidth="1"/>
    <col min="9224" max="9224" width="16.125" style="43" customWidth="1"/>
    <col min="9225" max="9225" width="12.625" style="43" customWidth="1"/>
    <col min="9226" max="9472" width="9" style="43"/>
    <col min="9473" max="9473" width="12.75" style="43" customWidth="1"/>
    <col min="9474" max="9474" width="20.5" style="43" customWidth="1"/>
    <col min="9475" max="9475" width="18.625" style="43" customWidth="1"/>
    <col min="9476" max="9476" width="15.875" style="43" customWidth="1"/>
    <col min="9477" max="9477" width="15" style="43" customWidth="1"/>
    <col min="9478" max="9478" width="13.625" style="43" customWidth="1"/>
    <col min="9479" max="9479" width="14.375" style="43" customWidth="1"/>
    <col min="9480" max="9480" width="16.125" style="43" customWidth="1"/>
    <col min="9481" max="9481" width="12.625" style="43" customWidth="1"/>
    <col min="9482" max="9728" width="9" style="43"/>
    <col min="9729" max="9729" width="12.75" style="43" customWidth="1"/>
    <col min="9730" max="9730" width="20.5" style="43" customWidth="1"/>
    <col min="9731" max="9731" width="18.625" style="43" customWidth="1"/>
    <col min="9732" max="9732" width="15.875" style="43" customWidth="1"/>
    <col min="9733" max="9733" width="15" style="43" customWidth="1"/>
    <col min="9734" max="9734" width="13.625" style="43" customWidth="1"/>
    <col min="9735" max="9735" width="14.375" style="43" customWidth="1"/>
    <col min="9736" max="9736" width="16.125" style="43" customWidth="1"/>
    <col min="9737" max="9737" width="12.625" style="43" customWidth="1"/>
    <col min="9738" max="9984" width="9" style="43"/>
    <col min="9985" max="9985" width="12.75" style="43" customWidth="1"/>
    <col min="9986" max="9986" width="20.5" style="43" customWidth="1"/>
    <col min="9987" max="9987" width="18.625" style="43" customWidth="1"/>
    <col min="9988" max="9988" width="15.875" style="43" customWidth="1"/>
    <col min="9989" max="9989" width="15" style="43" customWidth="1"/>
    <col min="9990" max="9990" width="13.625" style="43" customWidth="1"/>
    <col min="9991" max="9991" width="14.375" style="43" customWidth="1"/>
    <col min="9992" max="9992" width="16.125" style="43" customWidth="1"/>
    <col min="9993" max="9993" width="12.625" style="43" customWidth="1"/>
    <col min="9994" max="10240" width="9" style="43"/>
    <col min="10241" max="10241" width="12.75" style="43" customWidth="1"/>
    <col min="10242" max="10242" width="20.5" style="43" customWidth="1"/>
    <col min="10243" max="10243" width="18.625" style="43" customWidth="1"/>
    <col min="10244" max="10244" width="15.875" style="43" customWidth="1"/>
    <col min="10245" max="10245" width="15" style="43" customWidth="1"/>
    <col min="10246" max="10246" width="13.625" style="43" customWidth="1"/>
    <col min="10247" max="10247" width="14.375" style="43" customWidth="1"/>
    <col min="10248" max="10248" width="16.125" style="43" customWidth="1"/>
    <col min="10249" max="10249" width="12.625" style="43" customWidth="1"/>
    <col min="10250" max="10496" width="9" style="43"/>
    <col min="10497" max="10497" width="12.75" style="43" customWidth="1"/>
    <col min="10498" max="10498" width="20.5" style="43" customWidth="1"/>
    <col min="10499" max="10499" width="18.625" style="43" customWidth="1"/>
    <col min="10500" max="10500" width="15.875" style="43" customWidth="1"/>
    <col min="10501" max="10501" width="15" style="43" customWidth="1"/>
    <col min="10502" max="10502" width="13.625" style="43" customWidth="1"/>
    <col min="10503" max="10503" width="14.375" style="43" customWidth="1"/>
    <col min="10504" max="10504" width="16.125" style="43" customWidth="1"/>
    <col min="10505" max="10505" width="12.625" style="43" customWidth="1"/>
    <col min="10506" max="10752" width="9" style="43"/>
    <col min="10753" max="10753" width="12.75" style="43" customWidth="1"/>
    <col min="10754" max="10754" width="20.5" style="43" customWidth="1"/>
    <col min="10755" max="10755" width="18.625" style="43" customWidth="1"/>
    <col min="10756" max="10756" width="15.875" style="43" customWidth="1"/>
    <col min="10757" max="10757" width="15" style="43" customWidth="1"/>
    <col min="10758" max="10758" width="13.625" style="43" customWidth="1"/>
    <col min="10759" max="10759" width="14.375" style="43" customWidth="1"/>
    <col min="10760" max="10760" width="16.125" style="43" customWidth="1"/>
    <col min="10761" max="10761" width="12.625" style="43" customWidth="1"/>
    <col min="10762" max="11008" width="9" style="43"/>
    <col min="11009" max="11009" width="12.75" style="43" customWidth="1"/>
    <col min="11010" max="11010" width="20.5" style="43" customWidth="1"/>
    <col min="11011" max="11011" width="18.625" style="43" customWidth="1"/>
    <col min="11012" max="11012" width="15.875" style="43" customWidth="1"/>
    <col min="11013" max="11013" width="15" style="43" customWidth="1"/>
    <col min="11014" max="11014" width="13.625" style="43" customWidth="1"/>
    <col min="11015" max="11015" width="14.375" style="43" customWidth="1"/>
    <col min="11016" max="11016" width="16.125" style="43" customWidth="1"/>
    <col min="11017" max="11017" width="12.625" style="43" customWidth="1"/>
    <col min="11018" max="11264" width="9" style="43"/>
    <col min="11265" max="11265" width="12.75" style="43" customWidth="1"/>
    <col min="11266" max="11266" width="20.5" style="43" customWidth="1"/>
    <col min="11267" max="11267" width="18.625" style="43" customWidth="1"/>
    <col min="11268" max="11268" width="15.875" style="43" customWidth="1"/>
    <col min="11269" max="11269" width="15" style="43" customWidth="1"/>
    <col min="11270" max="11270" width="13.625" style="43" customWidth="1"/>
    <col min="11271" max="11271" width="14.375" style="43" customWidth="1"/>
    <col min="11272" max="11272" width="16.125" style="43" customWidth="1"/>
    <col min="11273" max="11273" width="12.625" style="43" customWidth="1"/>
    <col min="11274" max="11520" width="9" style="43"/>
    <col min="11521" max="11521" width="12.75" style="43" customWidth="1"/>
    <col min="11522" max="11522" width="20.5" style="43" customWidth="1"/>
    <col min="11523" max="11523" width="18.625" style="43" customWidth="1"/>
    <col min="11524" max="11524" width="15.875" style="43" customWidth="1"/>
    <col min="11525" max="11525" width="15" style="43" customWidth="1"/>
    <col min="11526" max="11526" width="13.625" style="43" customWidth="1"/>
    <col min="11527" max="11527" width="14.375" style="43" customWidth="1"/>
    <col min="11528" max="11528" width="16.125" style="43" customWidth="1"/>
    <col min="11529" max="11529" width="12.625" style="43" customWidth="1"/>
    <col min="11530" max="11776" width="9" style="43"/>
    <col min="11777" max="11777" width="12.75" style="43" customWidth="1"/>
    <col min="11778" max="11778" width="20.5" style="43" customWidth="1"/>
    <col min="11779" max="11779" width="18.625" style="43" customWidth="1"/>
    <col min="11780" max="11780" width="15.875" style="43" customWidth="1"/>
    <col min="11781" max="11781" width="15" style="43" customWidth="1"/>
    <col min="11782" max="11782" width="13.625" style="43" customWidth="1"/>
    <col min="11783" max="11783" width="14.375" style="43" customWidth="1"/>
    <col min="11784" max="11784" width="16.125" style="43" customWidth="1"/>
    <col min="11785" max="11785" width="12.625" style="43" customWidth="1"/>
    <col min="11786" max="12032" width="9" style="43"/>
    <col min="12033" max="12033" width="12.75" style="43" customWidth="1"/>
    <col min="12034" max="12034" width="20.5" style="43" customWidth="1"/>
    <col min="12035" max="12035" width="18.625" style="43" customWidth="1"/>
    <col min="12036" max="12036" width="15.875" style="43" customWidth="1"/>
    <col min="12037" max="12037" width="15" style="43" customWidth="1"/>
    <col min="12038" max="12038" width="13.625" style="43" customWidth="1"/>
    <col min="12039" max="12039" width="14.375" style="43" customWidth="1"/>
    <col min="12040" max="12040" width="16.125" style="43" customWidth="1"/>
    <col min="12041" max="12041" width="12.625" style="43" customWidth="1"/>
    <col min="12042" max="12288" width="9" style="43"/>
    <col min="12289" max="12289" width="12.75" style="43" customWidth="1"/>
    <col min="12290" max="12290" width="20.5" style="43" customWidth="1"/>
    <col min="12291" max="12291" width="18.625" style="43" customWidth="1"/>
    <col min="12292" max="12292" width="15.875" style="43" customWidth="1"/>
    <col min="12293" max="12293" width="15" style="43" customWidth="1"/>
    <col min="12294" max="12294" width="13.625" style="43" customWidth="1"/>
    <col min="12295" max="12295" width="14.375" style="43" customWidth="1"/>
    <col min="12296" max="12296" width="16.125" style="43" customWidth="1"/>
    <col min="12297" max="12297" width="12.625" style="43" customWidth="1"/>
    <col min="12298" max="12544" width="9" style="43"/>
    <col min="12545" max="12545" width="12.75" style="43" customWidth="1"/>
    <col min="12546" max="12546" width="20.5" style="43" customWidth="1"/>
    <col min="12547" max="12547" width="18.625" style="43" customWidth="1"/>
    <col min="12548" max="12548" width="15.875" style="43" customWidth="1"/>
    <col min="12549" max="12549" width="15" style="43" customWidth="1"/>
    <col min="12550" max="12550" width="13.625" style="43" customWidth="1"/>
    <col min="12551" max="12551" width="14.375" style="43" customWidth="1"/>
    <col min="12552" max="12552" width="16.125" style="43" customWidth="1"/>
    <col min="12553" max="12553" width="12.625" style="43" customWidth="1"/>
    <col min="12554" max="12800" width="9" style="43"/>
    <col min="12801" max="12801" width="12.75" style="43" customWidth="1"/>
    <col min="12802" max="12802" width="20.5" style="43" customWidth="1"/>
    <col min="12803" max="12803" width="18.625" style="43" customWidth="1"/>
    <col min="12804" max="12804" width="15.875" style="43" customWidth="1"/>
    <col min="12805" max="12805" width="15" style="43" customWidth="1"/>
    <col min="12806" max="12806" width="13.625" style="43" customWidth="1"/>
    <col min="12807" max="12807" width="14.375" style="43" customWidth="1"/>
    <col min="12808" max="12808" width="16.125" style="43" customWidth="1"/>
    <col min="12809" max="12809" width="12.625" style="43" customWidth="1"/>
    <col min="12810" max="13056" width="9" style="43"/>
    <col min="13057" max="13057" width="12.75" style="43" customWidth="1"/>
    <col min="13058" max="13058" width="20.5" style="43" customWidth="1"/>
    <col min="13059" max="13059" width="18.625" style="43" customWidth="1"/>
    <col min="13060" max="13060" width="15.875" style="43" customWidth="1"/>
    <col min="13061" max="13061" width="15" style="43" customWidth="1"/>
    <col min="13062" max="13062" width="13.625" style="43" customWidth="1"/>
    <col min="13063" max="13063" width="14.375" style="43" customWidth="1"/>
    <col min="13064" max="13064" width="16.125" style="43" customWidth="1"/>
    <col min="13065" max="13065" width="12.625" style="43" customWidth="1"/>
    <col min="13066" max="13312" width="9" style="43"/>
    <col min="13313" max="13313" width="12.75" style="43" customWidth="1"/>
    <col min="13314" max="13314" width="20.5" style="43" customWidth="1"/>
    <col min="13315" max="13315" width="18.625" style="43" customWidth="1"/>
    <col min="13316" max="13316" width="15.875" style="43" customWidth="1"/>
    <col min="13317" max="13317" width="15" style="43" customWidth="1"/>
    <col min="13318" max="13318" width="13.625" style="43" customWidth="1"/>
    <col min="13319" max="13319" width="14.375" style="43" customWidth="1"/>
    <col min="13320" max="13320" width="16.125" style="43" customWidth="1"/>
    <col min="13321" max="13321" width="12.625" style="43" customWidth="1"/>
    <col min="13322" max="13568" width="9" style="43"/>
    <col min="13569" max="13569" width="12.75" style="43" customWidth="1"/>
    <col min="13570" max="13570" width="20.5" style="43" customWidth="1"/>
    <col min="13571" max="13571" width="18.625" style="43" customWidth="1"/>
    <col min="13572" max="13572" width="15.875" style="43" customWidth="1"/>
    <col min="13573" max="13573" width="15" style="43" customWidth="1"/>
    <col min="13574" max="13574" width="13.625" style="43" customWidth="1"/>
    <col min="13575" max="13575" width="14.375" style="43" customWidth="1"/>
    <col min="13576" max="13576" width="16.125" style="43" customWidth="1"/>
    <col min="13577" max="13577" width="12.625" style="43" customWidth="1"/>
    <col min="13578" max="13824" width="9" style="43"/>
    <col min="13825" max="13825" width="12.75" style="43" customWidth="1"/>
    <col min="13826" max="13826" width="20.5" style="43" customWidth="1"/>
    <col min="13827" max="13827" width="18.625" style="43" customWidth="1"/>
    <col min="13828" max="13828" width="15.875" style="43" customWidth="1"/>
    <col min="13829" max="13829" width="15" style="43" customWidth="1"/>
    <col min="13830" max="13830" width="13.625" style="43" customWidth="1"/>
    <col min="13831" max="13831" width="14.375" style="43" customWidth="1"/>
    <col min="13832" max="13832" width="16.125" style="43" customWidth="1"/>
    <col min="13833" max="13833" width="12.625" style="43" customWidth="1"/>
    <col min="13834" max="14080" width="9" style="43"/>
    <col min="14081" max="14081" width="12.75" style="43" customWidth="1"/>
    <col min="14082" max="14082" width="20.5" style="43" customWidth="1"/>
    <col min="14083" max="14083" width="18.625" style="43" customWidth="1"/>
    <col min="14084" max="14084" width="15.875" style="43" customWidth="1"/>
    <col min="14085" max="14085" width="15" style="43" customWidth="1"/>
    <col min="14086" max="14086" width="13.625" style="43" customWidth="1"/>
    <col min="14087" max="14087" width="14.375" style="43" customWidth="1"/>
    <col min="14088" max="14088" width="16.125" style="43" customWidth="1"/>
    <col min="14089" max="14089" width="12.625" style="43" customWidth="1"/>
    <col min="14090" max="14336" width="9" style="43"/>
    <col min="14337" max="14337" width="12.75" style="43" customWidth="1"/>
    <col min="14338" max="14338" width="20.5" style="43" customWidth="1"/>
    <col min="14339" max="14339" width="18.625" style="43" customWidth="1"/>
    <col min="14340" max="14340" width="15.875" style="43" customWidth="1"/>
    <col min="14341" max="14341" width="15" style="43" customWidth="1"/>
    <col min="14342" max="14342" width="13.625" style="43" customWidth="1"/>
    <col min="14343" max="14343" width="14.375" style="43" customWidth="1"/>
    <col min="14344" max="14344" width="16.125" style="43" customWidth="1"/>
    <col min="14345" max="14345" width="12.625" style="43" customWidth="1"/>
    <col min="14346" max="14592" width="9" style="43"/>
    <col min="14593" max="14593" width="12.75" style="43" customWidth="1"/>
    <col min="14594" max="14594" width="20.5" style="43" customWidth="1"/>
    <col min="14595" max="14595" width="18.625" style="43" customWidth="1"/>
    <col min="14596" max="14596" width="15.875" style="43" customWidth="1"/>
    <col min="14597" max="14597" width="15" style="43" customWidth="1"/>
    <col min="14598" max="14598" width="13.625" style="43" customWidth="1"/>
    <col min="14599" max="14599" width="14.375" style="43" customWidth="1"/>
    <col min="14600" max="14600" width="16.125" style="43" customWidth="1"/>
    <col min="14601" max="14601" width="12.625" style="43" customWidth="1"/>
    <col min="14602" max="14848" width="9" style="43"/>
    <col min="14849" max="14849" width="12.75" style="43" customWidth="1"/>
    <col min="14850" max="14850" width="20.5" style="43" customWidth="1"/>
    <col min="14851" max="14851" width="18.625" style="43" customWidth="1"/>
    <col min="14852" max="14852" width="15.875" style="43" customWidth="1"/>
    <col min="14853" max="14853" width="15" style="43" customWidth="1"/>
    <col min="14854" max="14854" width="13.625" style="43" customWidth="1"/>
    <col min="14855" max="14855" width="14.375" style="43" customWidth="1"/>
    <col min="14856" max="14856" width="16.125" style="43" customWidth="1"/>
    <col min="14857" max="14857" width="12.625" style="43" customWidth="1"/>
    <col min="14858" max="15104" width="9" style="43"/>
    <col min="15105" max="15105" width="12.75" style="43" customWidth="1"/>
    <col min="15106" max="15106" width="20.5" style="43" customWidth="1"/>
    <col min="15107" max="15107" width="18.625" style="43" customWidth="1"/>
    <col min="15108" max="15108" width="15.875" style="43" customWidth="1"/>
    <col min="15109" max="15109" width="15" style="43" customWidth="1"/>
    <col min="15110" max="15110" width="13.625" style="43" customWidth="1"/>
    <col min="15111" max="15111" width="14.375" style="43" customWidth="1"/>
    <col min="15112" max="15112" width="16.125" style="43" customWidth="1"/>
    <col min="15113" max="15113" width="12.625" style="43" customWidth="1"/>
    <col min="15114" max="15360" width="9" style="43"/>
    <col min="15361" max="15361" width="12.75" style="43" customWidth="1"/>
    <col min="15362" max="15362" width="20.5" style="43" customWidth="1"/>
    <col min="15363" max="15363" width="18.625" style="43" customWidth="1"/>
    <col min="15364" max="15364" width="15.875" style="43" customWidth="1"/>
    <col min="15365" max="15365" width="15" style="43" customWidth="1"/>
    <col min="15366" max="15366" width="13.625" style="43" customWidth="1"/>
    <col min="15367" max="15367" width="14.375" style="43" customWidth="1"/>
    <col min="15368" max="15368" width="16.125" style="43" customWidth="1"/>
    <col min="15369" max="15369" width="12.625" style="43" customWidth="1"/>
    <col min="15370" max="15616" width="9" style="43"/>
    <col min="15617" max="15617" width="12.75" style="43" customWidth="1"/>
    <col min="15618" max="15618" width="20.5" style="43" customWidth="1"/>
    <col min="15619" max="15619" width="18.625" style="43" customWidth="1"/>
    <col min="15620" max="15620" width="15.875" style="43" customWidth="1"/>
    <col min="15621" max="15621" width="15" style="43" customWidth="1"/>
    <col min="15622" max="15622" width="13.625" style="43" customWidth="1"/>
    <col min="15623" max="15623" width="14.375" style="43" customWidth="1"/>
    <col min="15624" max="15624" width="16.125" style="43" customWidth="1"/>
    <col min="15625" max="15625" width="12.625" style="43" customWidth="1"/>
    <col min="15626" max="15872" width="9" style="43"/>
    <col min="15873" max="15873" width="12.75" style="43" customWidth="1"/>
    <col min="15874" max="15874" width="20.5" style="43" customWidth="1"/>
    <col min="15875" max="15875" width="18.625" style="43" customWidth="1"/>
    <col min="15876" max="15876" width="15.875" style="43" customWidth="1"/>
    <col min="15877" max="15877" width="15" style="43" customWidth="1"/>
    <col min="15878" max="15878" width="13.625" style="43" customWidth="1"/>
    <col min="15879" max="15879" width="14.375" style="43" customWidth="1"/>
    <col min="15880" max="15880" width="16.125" style="43" customWidth="1"/>
    <col min="15881" max="15881" width="12.625" style="43" customWidth="1"/>
    <col min="15882" max="16128" width="9" style="43"/>
    <col min="16129" max="16129" width="12.75" style="43" customWidth="1"/>
    <col min="16130" max="16130" width="20.5" style="43" customWidth="1"/>
    <col min="16131" max="16131" width="18.625" style="43" customWidth="1"/>
    <col min="16132" max="16132" width="15.875" style="43" customWidth="1"/>
    <col min="16133" max="16133" width="15" style="43" customWidth="1"/>
    <col min="16134" max="16134" width="13.625" style="43" customWidth="1"/>
    <col min="16135" max="16135" width="14.375" style="43" customWidth="1"/>
    <col min="16136" max="16136" width="16.125" style="43" customWidth="1"/>
    <col min="16137" max="16137" width="12.625" style="43" customWidth="1"/>
    <col min="16138" max="16384" width="9" style="43"/>
  </cols>
  <sheetData>
    <row r="1" spans="1:9">
      <c r="A1" s="771" t="s">
        <v>264</v>
      </c>
      <c r="B1" s="772"/>
      <c r="C1" s="772"/>
      <c r="D1" s="772"/>
      <c r="E1" s="772"/>
      <c r="F1" s="772"/>
      <c r="G1" s="772"/>
      <c r="H1" s="772"/>
    </row>
    <row r="2" spans="1:9">
      <c r="A2" s="771" t="s">
        <v>267</v>
      </c>
      <c r="B2" s="772"/>
      <c r="C2" s="772"/>
      <c r="D2" s="772"/>
      <c r="E2" s="772"/>
      <c r="F2" s="772"/>
      <c r="G2" s="772"/>
      <c r="H2" s="772"/>
    </row>
    <row r="3" spans="1:9">
      <c r="A3" s="771" t="s">
        <v>1007</v>
      </c>
      <c r="B3" s="772"/>
      <c r="C3" s="772"/>
      <c r="D3" s="772"/>
      <c r="E3" s="772"/>
      <c r="F3" s="772"/>
      <c r="G3" s="772"/>
      <c r="H3" s="772"/>
    </row>
    <row r="5" spans="1:9">
      <c r="A5" s="773" t="s">
        <v>65</v>
      </c>
      <c r="B5" s="775" t="s">
        <v>50</v>
      </c>
      <c r="C5" s="775" t="s">
        <v>39</v>
      </c>
      <c r="D5" s="777" t="s">
        <v>66</v>
      </c>
      <c r="E5" s="777" t="s">
        <v>123</v>
      </c>
      <c r="F5" s="777" t="s">
        <v>124</v>
      </c>
      <c r="G5" s="777" t="s">
        <v>68</v>
      </c>
      <c r="H5" s="777" t="s">
        <v>35</v>
      </c>
    </row>
    <row r="6" spans="1:9" ht="46.5" customHeight="1">
      <c r="A6" s="774"/>
      <c r="B6" s="776"/>
      <c r="C6" s="776"/>
      <c r="D6" s="778"/>
      <c r="E6" s="778"/>
      <c r="F6" s="778"/>
      <c r="G6" s="778"/>
      <c r="H6" s="778"/>
    </row>
    <row r="7" spans="1:9">
      <c r="A7" s="50" t="s">
        <v>96</v>
      </c>
      <c r="B7" s="50"/>
      <c r="C7" s="50"/>
      <c r="D7" s="54"/>
      <c r="E7" s="54"/>
      <c r="F7" s="54"/>
      <c r="G7" s="54"/>
      <c r="H7" s="54"/>
    </row>
    <row r="8" spans="1:9">
      <c r="A8" s="52" t="s">
        <v>69</v>
      </c>
      <c r="B8" s="53" t="s">
        <v>268</v>
      </c>
      <c r="C8" s="53" t="s">
        <v>197</v>
      </c>
      <c r="D8" s="54">
        <f>'Sheet3 (โอน)'!D22</f>
        <v>3119320</v>
      </c>
      <c r="E8" s="54">
        <f>'Sheet3 (โอน)'!E22</f>
        <v>2836800</v>
      </c>
      <c r="F8" s="54"/>
      <c r="G8" s="54"/>
      <c r="H8" s="54">
        <f>SUM(E8:G8)</f>
        <v>2836800</v>
      </c>
    </row>
    <row r="9" spans="1:9">
      <c r="A9" s="52"/>
      <c r="B9" s="53" t="s">
        <v>269</v>
      </c>
      <c r="C9" s="53" t="s">
        <v>197</v>
      </c>
      <c r="D9" s="54">
        <f>'Sheet3 (โอน)'!D31+'Sheet3 (โอน)'!D39</f>
        <v>5844260</v>
      </c>
      <c r="E9" s="54">
        <f>'Sheet3 (โอน)'!E31</f>
        <v>3253210</v>
      </c>
      <c r="F9" s="54"/>
      <c r="G9" s="54">
        <f>'Sheet3 (โอน)'!E39</f>
        <v>1600719</v>
      </c>
      <c r="H9" s="54">
        <f>SUM(E9:G9)</f>
        <v>4853929</v>
      </c>
      <c r="I9" s="57"/>
    </row>
    <row r="10" spans="1:9">
      <c r="A10" s="52" t="s">
        <v>70</v>
      </c>
      <c r="B10" s="53" t="s">
        <v>270</v>
      </c>
      <c r="C10" s="53" t="s">
        <v>197</v>
      </c>
      <c r="D10" s="54">
        <f>'Sheet3 (โอน)'!D87+'Sheet3 (โอน)'!D96</f>
        <v>458280</v>
      </c>
      <c r="E10" s="54">
        <f>'Sheet3 (โอน)'!E87</f>
        <v>75500</v>
      </c>
      <c r="F10" s="54"/>
      <c r="G10" s="54">
        <f>'Sheet3 (โอน)'!E96</f>
        <v>228200</v>
      </c>
      <c r="H10" s="54">
        <f>SUM(E10:G10)</f>
        <v>303700</v>
      </c>
    </row>
    <row r="11" spans="1:9">
      <c r="A11" s="52"/>
      <c r="B11" s="53" t="s">
        <v>271</v>
      </c>
      <c r="C11" s="53" t="s">
        <v>197</v>
      </c>
      <c r="D11" s="54">
        <f>'Sheet3 (โอน)'!D146+'Sheet3 (โอน)'!D163</f>
        <v>1751400</v>
      </c>
      <c r="E11" s="54">
        <f>'Sheet3 (โอน)'!E146</f>
        <v>1079840</v>
      </c>
      <c r="F11" s="54"/>
      <c r="G11" s="54">
        <f>'Sheet3 (โอน)'!E163</f>
        <v>122576</v>
      </c>
      <c r="H11" s="54">
        <f t="shared" ref="H11:H17" si="0">SUM(E11:G11)</f>
        <v>1202416</v>
      </c>
    </row>
    <row r="12" spans="1:9">
      <c r="A12" s="52"/>
      <c r="B12" s="53" t="s">
        <v>272</v>
      </c>
      <c r="C12" s="53" t="s">
        <v>197</v>
      </c>
      <c r="D12" s="54">
        <f>'Sheet3 (โอน)'!D258+'Sheet3 (โอน)'!D265</f>
        <v>448000</v>
      </c>
      <c r="E12" s="54">
        <f>'Sheet3 (โอน)'!E258</f>
        <v>324797</v>
      </c>
      <c r="F12" s="54">
        <v>0</v>
      </c>
      <c r="G12" s="54">
        <f>'Sheet3 (โอน)'!E265</f>
        <v>46944</v>
      </c>
      <c r="H12" s="54">
        <f t="shared" si="0"/>
        <v>371741</v>
      </c>
    </row>
    <row r="13" spans="1:9">
      <c r="A13" s="52"/>
      <c r="B13" s="53" t="s">
        <v>74</v>
      </c>
      <c r="C13" s="53" t="s">
        <v>197</v>
      </c>
      <c r="D13" s="54">
        <f>'Sheet3 (โอน)'!D307</f>
        <v>435000</v>
      </c>
      <c r="E13" s="54">
        <f>'Sheet3 (โอน)'!E307</f>
        <v>346352.61</v>
      </c>
      <c r="F13" s="54"/>
      <c r="G13" s="54"/>
      <c r="H13" s="54">
        <f>SUM(E13:G13)</f>
        <v>346352.61</v>
      </c>
    </row>
    <row r="14" spans="1:9">
      <c r="A14" s="52" t="s">
        <v>75</v>
      </c>
      <c r="B14" s="53" t="s">
        <v>273</v>
      </c>
      <c r="C14" s="53" t="s">
        <v>197</v>
      </c>
      <c r="D14" s="54">
        <f>'Sheet3 (โอน)'!D341+'Sheet3 (โอน)'!D349+'Sheet3 (โอน)'!D374</f>
        <v>57300</v>
      </c>
      <c r="E14" s="54">
        <f>'Sheet3 (โอน)'!E341+'Sheet3 (โอน)'!D374</f>
        <v>46300</v>
      </c>
      <c r="F14" s="54"/>
      <c r="G14" s="54">
        <f>'Sheet3 (โอน)'!E345</f>
        <v>11000</v>
      </c>
      <c r="H14" s="54">
        <f t="shared" si="0"/>
        <v>57300</v>
      </c>
    </row>
    <row r="15" spans="1:9">
      <c r="A15" s="52"/>
      <c r="B15" s="53" t="s">
        <v>274</v>
      </c>
      <c r="C15" s="53" t="s">
        <v>197</v>
      </c>
      <c r="D15" s="54">
        <v>0</v>
      </c>
      <c r="E15" s="54">
        <v>0</v>
      </c>
      <c r="F15" s="54">
        <v>0</v>
      </c>
      <c r="G15" s="54">
        <v>0</v>
      </c>
      <c r="H15" s="54">
        <f t="shared" si="0"/>
        <v>0</v>
      </c>
    </row>
    <row r="16" spans="1:9">
      <c r="A16" s="52" t="s">
        <v>78</v>
      </c>
      <c r="B16" s="53" t="s">
        <v>79</v>
      </c>
      <c r="C16" s="53" t="s">
        <v>197</v>
      </c>
      <c r="D16" s="54">
        <v>0</v>
      </c>
      <c r="E16" s="54">
        <v>0</v>
      </c>
      <c r="F16" s="54">
        <v>0</v>
      </c>
      <c r="G16" s="54">
        <v>0</v>
      </c>
      <c r="H16" s="54">
        <f t="shared" si="0"/>
        <v>0</v>
      </c>
    </row>
    <row r="17" spans="1:9">
      <c r="A17" s="52" t="s">
        <v>80</v>
      </c>
      <c r="B17" s="53" t="s">
        <v>275</v>
      </c>
      <c r="C17" s="53" t="s">
        <v>197</v>
      </c>
      <c r="D17" s="54">
        <v>0</v>
      </c>
      <c r="E17" s="54">
        <f>'[2]สรุปรายจ่ายตามงบประมาณ '!E325</f>
        <v>0</v>
      </c>
      <c r="F17" s="54"/>
      <c r="G17" s="54"/>
      <c r="H17" s="54">
        <f t="shared" si="0"/>
        <v>0</v>
      </c>
    </row>
    <row r="18" spans="1:9">
      <c r="A18" s="768" t="s">
        <v>35</v>
      </c>
      <c r="B18" s="769"/>
      <c r="C18" s="770"/>
      <c r="D18" s="55">
        <f>SUM(D8:D17)</f>
        <v>12113560</v>
      </c>
      <c r="E18" s="55">
        <f>SUM(E8:E17)</f>
        <v>7962799.6100000003</v>
      </c>
      <c r="F18" s="55">
        <f>SUM(F8:F17)</f>
        <v>0</v>
      </c>
      <c r="G18" s="55">
        <f>SUM(G8:G17)</f>
        <v>2009439</v>
      </c>
      <c r="H18" s="60">
        <f>SUM(H8:H17)</f>
        <v>9972238.6099999994</v>
      </c>
    </row>
    <row r="20" spans="1:9" s="293" customFormat="1" ht="21">
      <c r="A20" s="293" t="s">
        <v>64</v>
      </c>
      <c r="D20" s="321"/>
      <c r="E20" s="321"/>
      <c r="F20" s="321"/>
      <c r="G20" s="321"/>
      <c r="H20" s="321"/>
      <c r="I20" s="321"/>
    </row>
  </sheetData>
  <mergeCells count="12">
    <mergeCell ref="A18:C18"/>
    <mergeCell ref="A1:H1"/>
    <mergeCell ref="A2:H2"/>
    <mergeCell ref="A3:H3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70866141732283472" right="0.27" top="0.39" bottom="0.32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L12" sqref="L12"/>
    </sheetView>
  </sheetViews>
  <sheetFormatPr defaultRowHeight="24.75"/>
  <cols>
    <col min="1" max="1" width="12.75" style="43" customWidth="1"/>
    <col min="2" max="2" width="20.5" style="43" customWidth="1"/>
    <col min="3" max="3" width="23.25" style="43" customWidth="1"/>
    <col min="4" max="4" width="13.875" style="56" customWidth="1"/>
    <col min="5" max="5" width="16.75" style="56" customWidth="1"/>
    <col min="6" max="6" width="13.625" style="56" customWidth="1"/>
    <col min="7" max="7" width="16" style="56" customWidth="1"/>
    <col min="8" max="8" width="13.75" style="56" customWidth="1"/>
    <col min="9" max="256" width="9" style="43"/>
    <col min="257" max="257" width="12.75" style="43" customWidth="1"/>
    <col min="258" max="258" width="20.5" style="43" customWidth="1"/>
    <col min="259" max="259" width="23.25" style="43" customWidth="1"/>
    <col min="260" max="260" width="13.875" style="43" customWidth="1"/>
    <col min="261" max="261" width="16.75" style="43" customWidth="1"/>
    <col min="262" max="262" width="13.625" style="43" customWidth="1"/>
    <col min="263" max="263" width="16" style="43" customWidth="1"/>
    <col min="264" max="264" width="13.75" style="43" customWidth="1"/>
    <col min="265" max="512" width="9" style="43"/>
    <col min="513" max="513" width="12.75" style="43" customWidth="1"/>
    <col min="514" max="514" width="20.5" style="43" customWidth="1"/>
    <col min="515" max="515" width="23.25" style="43" customWidth="1"/>
    <col min="516" max="516" width="13.875" style="43" customWidth="1"/>
    <col min="517" max="517" width="16.75" style="43" customWidth="1"/>
    <col min="518" max="518" width="13.625" style="43" customWidth="1"/>
    <col min="519" max="519" width="16" style="43" customWidth="1"/>
    <col min="520" max="520" width="13.75" style="43" customWidth="1"/>
    <col min="521" max="768" width="9" style="43"/>
    <col min="769" max="769" width="12.75" style="43" customWidth="1"/>
    <col min="770" max="770" width="20.5" style="43" customWidth="1"/>
    <col min="771" max="771" width="23.25" style="43" customWidth="1"/>
    <col min="772" max="772" width="13.875" style="43" customWidth="1"/>
    <col min="773" max="773" width="16.75" style="43" customWidth="1"/>
    <col min="774" max="774" width="13.625" style="43" customWidth="1"/>
    <col min="775" max="775" width="16" style="43" customWidth="1"/>
    <col min="776" max="776" width="13.75" style="43" customWidth="1"/>
    <col min="777" max="1024" width="9" style="43"/>
    <col min="1025" max="1025" width="12.75" style="43" customWidth="1"/>
    <col min="1026" max="1026" width="20.5" style="43" customWidth="1"/>
    <col min="1027" max="1027" width="23.25" style="43" customWidth="1"/>
    <col min="1028" max="1028" width="13.875" style="43" customWidth="1"/>
    <col min="1029" max="1029" width="16.75" style="43" customWidth="1"/>
    <col min="1030" max="1030" width="13.625" style="43" customWidth="1"/>
    <col min="1031" max="1031" width="16" style="43" customWidth="1"/>
    <col min="1032" max="1032" width="13.75" style="43" customWidth="1"/>
    <col min="1033" max="1280" width="9" style="43"/>
    <col min="1281" max="1281" width="12.75" style="43" customWidth="1"/>
    <col min="1282" max="1282" width="20.5" style="43" customWidth="1"/>
    <col min="1283" max="1283" width="23.25" style="43" customWidth="1"/>
    <col min="1284" max="1284" width="13.875" style="43" customWidth="1"/>
    <col min="1285" max="1285" width="16.75" style="43" customWidth="1"/>
    <col min="1286" max="1286" width="13.625" style="43" customWidth="1"/>
    <col min="1287" max="1287" width="16" style="43" customWidth="1"/>
    <col min="1288" max="1288" width="13.75" style="43" customWidth="1"/>
    <col min="1289" max="1536" width="9" style="43"/>
    <col min="1537" max="1537" width="12.75" style="43" customWidth="1"/>
    <col min="1538" max="1538" width="20.5" style="43" customWidth="1"/>
    <col min="1539" max="1539" width="23.25" style="43" customWidth="1"/>
    <col min="1540" max="1540" width="13.875" style="43" customWidth="1"/>
    <col min="1541" max="1541" width="16.75" style="43" customWidth="1"/>
    <col min="1542" max="1542" width="13.625" style="43" customWidth="1"/>
    <col min="1543" max="1543" width="16" style="43" customWidth="1"/>
    <col min="1544" max="1544" width="13.75" style="43" customWidth="1"/>
    <col min="1545" max="1792" width="9" style="43"/>
    <col min="1793" max="1793" width="12.75" style="43" customWidth="1"/>
    <col min="1794" max="1794" width="20.5" style="43" customWidth="1"/>
    <col min="1795" max="1795" width="23.25" style="43" customWidth="1"/>
    <col min="1796" max="1796" width="13.875" style="43" customWidth="1"/>
    <col min="1797" max="1797" width="16.75" style="43" customWidth="1"/>
    <col min="1798" max="1798" width="13.625" style="43" customWidth="1"/>
    <col min="1799" max="1799" width="16" style="43" customWidth="1"/>
    <col min="1800" max="1800" width="13.75" style="43" customWidth="1"/>
    <col min="1801" max="2048" width="9" style="43"/>
    <col min="2049" max="2049" width="12.75" style="43" customWidth="1"/>
    <col min="2050" max="2050" width="20.5" style="43" customWidth="1"/>
    <col min="2051" max="2051" width="23.25" style="43" customWidth="1"/>
    <col min="2052" max="2052" width="13.875" style="43" customWidth="1"/>
    <col min="2053" max="2053" width="16.75" style="43" customWidth="1"/>
    <col min="2054" max="2054" width="13.625" style="43" customWidth="1"/>
    <col min="2055" max="2055" width="16" style="43" customWidth="1"/>
    <col min="2056" max="2056" width="13.75" style="43" customWidth="1"/>
    <col min="2057" max="2304" width="9" style="43"/>
    <col min="2305" max="2305" width="12.75" style="43" customWidth="1"/>
    <col min="2306" max="2306" width="20.5" style="43" customWidth="1"/>
    <col min="2307" max="2307" width="23.25" style="43" customWidth="1"/>
    <col min="2308" max="2308" width="13.875" style="43" customWidth="1"/>
    <col min="2309" max="2309" width="16.75" style="43" customWidth="1"/>
    <col min="2310" max="2310" width="13.625" style="43" customWidth="1"/>
    <col min="2311" max="2311" width="16" style="43" customWidth="1"/>
    <col min="2312" max="2312" width="13.75" style="43" customWidth="1"/>
    <col min="2313" max="2560" width="9" style="43"/>
    <col min="2561" max="2561" width="12.75" style="43" customWidth="1"/>
    <col min="2562" max="2562" width="20.5" style="43" customWidth="1"/>
    <col min="2563" max="2563" width="23.25" style="43" customWidth="1"/>
    <col min="2564" max="2564" width="13.875" style="43" customWidth="1"/>
    <col min="2565" max="2565" width="16.75" style="43" customWidth="1"/>
    <col min="2566" max="2566" width="13.625" style="43" customWidth="1"/>
    <col min="2567" max="2567" width="16" style="43" customWidth="1"/>
    <col min="2568" max="2568" width="13.75" style="43" customWidth="1"/>
    <col min="2569" max="2816" width="9" style="43"/>
    <col min="2817" max="2817" width="12.75" style="43" customWidth="1"/>
    <col min="2818" max="2818" width="20.5" style="43" customWidth="1"/>
    <col min="2819" max="2819" width="23.25" style="43" customWidth="1"/>
    <col min="2820" max="2820" width="13.875" style="43" customWidth="1"/>
    <col min="2821" max="2821" width="16.75" style="43" customWidth="1"/>
    <col min="2822" max="2822" width="13.625" style="43" customWidth="1"/>
    <col min="2823" max="2823" width="16" style="43" customWidth="1"/>
    <col min="2824" max="2824" width="13.75" style="43" customWidth="1"/>
    <col min="2825" max="3072" width="9" style="43"/>
    <col min="3073" max="3073" width="12.75" style="43" customWidth="1"/>
    <col min="3074" max="3074" width="20.5" style="43" customWidth="1"/>
    <col min="3075" max="3075" width="23.25" style="43" customWidth="1"/>
    <col min="3076" max="3076" width="13.875" style="43" customWidth="1"/>
    <col min="3077" max="3077" width="16.75" style="43" customWidth="1"/>
    <col min="3078" max="3078" width="13.625" style="43" customWidth="1"/>
    <col min="3079" max="3079" width="16" style="43" customWidth="1"/>
    <col min="3080" max="3080" width="13.75" style="43" customWidth="1"/>
    <col min="3081" max="3328" width="9" style="43"/>
    <col min="3329" max="3329" width="12.75" style="43" customWidth="1"/>
    <col min="3330" max="3330" width="20.5" style="43" customWidth="1"/>
    <col min="3331" max="3331" width="23.25" style="43" customWidth="1"/>
    <col min="3332" max="3332" width="13.875" style="43" customWidth="1"/>
    <col min="3333" max="3333" width="16.75" style="43" customWidth="1"/>
    <col min="3334" max="3334" width="13.625" style="43" customWidth="1"/>
    <col min="3335" max="3335" width="16" style="43" customWidth="1"/>
    <col min="3336" max="3336" width="13.75" style="43" customWidth="1"/>
    <col min="3337" max="3584" width="9" style="43"/>
    <col min="3585" max="3585" width="12.75" style="43" customWidth="1"/>
    <col min="3586" max="3586" width="20.5" style="43" customWidth="1"/>
    <col min="3587" max="3587" width="23.25" style="43" customWidth="1"/>
    <col min="3588" max="3588" width="13.875" style="43" customWidth="1"/>
    <col min="3589" max="3589" width="16.75" style="43" customWidth="1"/>
    <col min="3590" max="3590" width="13.625" style="43" customWidth="1"/>
    <col min="3591" max="3591" width="16" style="43" customWidth="1"/>
    <col min="3592" max="3592" width="13.75" style="43" customWidth="1"/>
    <col min="3593" max="3840" width="9" style="43"/>
    <col min="3841" max="3841" width="12.75" style="43" customWidth="1"/>
    <col min="3842" max="3842" width="20.5" style="43" customWidth="1"/>
    <col min="3843" max="3843" width="23.25" style="43" customWidth="1"/>
    <col min="3844" max="3844" width="13.875" style="43" customWidth="1"/>
    <col min="3845" max="3845" width="16.75" style="43" customWidth="1"/>
    <col min="3846" max="3846" width="13.625" style="43" customWidth="1"/>
    <col min="3847" max="3847" width="16" style="43" customWidth="1"/>
    <col min="3848" max="3848" width="13.75" style="43" customWidth="1"/>
    <col min="3849" max="4096" width="9" style="43"/>
    <col min="4097" max="4097" width="12.75" style="43" customWidth="1"/>
    <col min="4098" max="4098" width="20.5" style="43" customWidth="1"/>
    <col min="4099" max="4099" width="23.25" style="43" customWidth="1"/>
    <col min="4100" max="4100" width="13.875" style="43" customWidth="1"/>
    <col min="4101" max="4101" width="16.75" style="43" customWidth="1"/>
    <col min="4102" max="4102" width="13.625" style="43" customWidth="1"/>
    <col min="4103" max="4103" width="16" style="43" customWidth="1"/>
    <col min="4104" max="4104" width="13.75" style="43" customWidth="1"/>
    <col min="4105" max="4352" width="9" style="43"/>
    <col min="4353" max="4353" width="12.75" style="43" customWidth="1"/>
    <col min="4354" max="4354" width="20.5" style="43" customWidth="1"/>
    <col min="4355" max="4355" width="23.25" style="43" customWidth="1"/>
    <col min="4356" max="4356" width="13.875" style="43" customWidth="1"/>
    <col min="4357" max="4357" width="16.75" style="43" customWidth="1"/>
    <col min="4358" max="4358" width="13.625" style="43" customWidth="1"/>
    <col min="4359" max="4359" width="16" style="43" customWidth="1"/>
    <col min="4360" max="4360" width="13.75" style="43" customWidth="1"/>
    <col min="4361" max="4608" width="9" style="43"/>
    <col min="4609" max="4609" width="12.75" style="43" customWidth="1"/>
    <col min="4610" max="4610" width="20.5" style="43" customWidth="1"/>
    <col min="4611" max="4611" width="23.25" style="43" customWidth="1"/>
    <col min="4612" max="4612" width="13.875" style="43" customWidth="1"/>
    <col min="4613" max="4613" width="16.75" style="43" customWidth="1"/>
    <col min="4614" max="4614" width="13.625" style="43" customWidth="1"/>
    <col min="4615" max="4615" width="16" style="43" customWidth="1"/>
    <col min="4616" max="4616" width="13.75" style="43" customWidth="1"/>
    <col min="4617" max="4864" width="9" style="43"/>
    <col min="4865" max="4865" width="12.75" style="43" customWidth="1"/>
    <col min="4866" max="4866" width="20.5" style="43" customWidth="1"/>
    <col min="4867" max="4867" width="23.25" style="43" customWidth="1"/>
    <col min="4868" max="4868" width="13.875" style="43" customWidth="1"/>
    <col min="4869" max="4869" width="16.75" style="43" customWidth="1"/>
    <col min="4870" max="4870" width="13.625" style="43" customWidth="1"/>
    <col min="4871" max="4871" width="16" style="43" customWidth="1"/>
    <col min="4872" max="4872" width="13.75" style="43" customWidth="1"/>
    <col min="4873" max="5120" width="9" style="43"/>
    <col min="5121" max="5121" width="12.75" style="43" customWidth="1"/>
    <col min="5122" max="5122" width="20.5" style="43" customWidth="1"/>
    <col min="5123" max="5123" width="23.25" style="43" customWidth="1"/>
    <col min="5124" max="5124" width="13.875" style="43" customWidth="1"/>
    <col min="5125" max="5125" width="16.75" style="43" customWidth="1"/>
    <col min="5126" max="5126" width="13.625" style="43" customWidth="1"/>
    <col min="5127" max="5127" width="16" style="43" customWidth="1"/>
    <col min="5128" max="5128" width="13.75" style="43" customWidth="1"/>
    <col min="5129" max="5376" width="9" style="43"/>
    <col min="5377" max="5377" width="12.75" style="43" customWidth="1"/>
    <col min="5378" max="5378" width="20.5" style="43" customWidth="1"/>
    <col min="5379" max="5379" width="23.25" style="43" customWidth="1"/>
    <col min="5380" max="5380" width="13.875" style="43" customWidth="1"/>
    <col min="5381" max="5381" width="16.75" style="43" customWidth="1"/>
    <col min="5382" max="5382" width="13.625" style="43" customWidth="1"/>
    <col min="5383" max="5383" width="16" style="43" customWidth="1"/>
    <col min="5384" max="5384" width="13.75" style="43" customWidth="1"/>
    <col min="5385" max="5632" width="9" style="43"/>
    <col min="5633" max="5633" width="12.75" style="43" customWidth="1"/>
    <col min="5634" max="5634" width="20.5" style="43" customWidth="1"/>
    <col min="5635" max="5635" width="23.25" style="43" customWidth="1"/>
    <col min="5636" max="5636" width="13.875" style="43" customWidth="1"/>
    <col min="5637" max="5637" width="16.75" style="43" customWidth="1"/>
    <col min="5638" max="5638" width="13.625" style="43" customWidth="1"/>
    <col min="5639" max="5639" width="16" style="43" customWidth="1"/>
    <col min="5640" max="5640" width="13.75" style="43" customWidth="1"/>
    <col min="5641" max="5888" width="9" style="43"/>
    <col min="5889" max="5889" width="12.75" style="43" customWidth="1"/>
    <col min="5890" max="5890" width="20.5" style="43" customWidth="1"/>
    <col min="5891" max="5891" width="23.25" style="43" customWidth="1"/>
    <col min="5892" max="5892" width="13.875" style="43" customWidth="1"/>
    <col min="5893" max="5893" width="16.75" style="43" customWidth="1"/>
    <col min="5894" max="5894" width="13.625" style="43" customWidth="1"/>
    <col min="5895" max="5895" width="16" style="43" customWidth="1"/>
    <col min="5896" max="5896" width="13.75" style="43" customWidth="1"/>
    <col min="5897" max="6144" width="9" style="43"/>
    <col min="6145" max="6145" width="12.75" style="43" customWidth="1"/>
    <col min="6146" max="6146" width="20.5" style="43" customWidth="1"/>
    <col min="6147" max="6147" width="23.25" style="43" customWidth="1"/>
    <col min="6148" max="6148" width="13.875" style="43" customWidth="1"/>
    <col min="6149" max="6149" width="16.75" style="43" customWidth="1"/>
    <col min="6150" max="6150" width="13.625" style="43" customWidth="1"/>
    <col min="6151" max="6151" width="16" style="43" customWidth="1"/>
    <col min="6152" max="6152" width="13.75" style="43" customWidth="1"/>
    <col min="6153" max="6400" width="9" style="43"/>
    <col min="6401" max="6401" width="12.75" style="43" customWidth="1"/>
    <col min="6402" max="6402" width="20.5" style="43" customWidth="1"/>
    <col min="6403" max="6403" width="23.25" style="43" customWidth="1"/>
    <col min="6404" max="6404" width="13.875" style="43" customWidth="1"/>
    <col min="6405" max="6405" width="16.75" style="43" customWidth="1"/>
    <col min="6406" max="6406" width="13.625" style="43" customWidth="1"/>
    <col min="6407" max="6407" width="16" style="43" customWidth="1"/>
    <col min="6408" max="6408" width="13.75" style="43" customWidth="1"/>
    <col min="6409" max="6656" width="9" style="43"/>
    <col min="6657" max="6657" width="12.75" style="43" customWidth="1"/>
    <col min="6658" max="6658" width="20.5" style="43" customWidth="1"/>
    <col min="6659" max="6659" width="23.25" style="43" customWidth="1"/>
    <col min="6660" max="6660" width="13.875" style="43" customWidth="1"/>
    <col min="6661" max="6661" width="16.75" style="43" customWidth="1"/>
    <col min="6662" max="6662" width="13.625" style="43" customWidth="1"/>
    <col min="6663" max="6663" width="16" style="43" customWidth="1"/>
    <col min="6664" max="6664" width="13.75" style="43" customWidth="1"/>
    <col min="6665" max="6912" width="9" style="43"/>
    <col min="6913" max="6913" width="12.75" style="43" customWidth="1"/>
    <col min="6914" max="6914" width="20.5" style="43" customWidth="1"/>
    <col min="6915" max="6915" width="23.25" style="43" customWidth="1"/>
    <col min="6916" max="6916" width="13.875" style="43" customWidth="1"/>
    <col min="6917" max="6917" width="16.75" style="43" customWidth="1"/>
    <col min="6918" max="6918" width="13.625" style="43" customWidth="1"/>
    <col min="6919" max="6919" width="16" style="43" customWidth="1"/>
    <col min="6920" max="6920" width="13.75" style="43" customWidth="1"/>
    <col min="6921" max="7168" width="9" style="43"/>
    <col min="7169" max="7169" width="12.75" style="43" customWidth="1"/>
    <col min="7170" max="7170" width="20.5" style="43" customWidth="1"/>
    <col min="7171" max="7171" width="23.25" style="43" customWidth="1"/>
    <col min="7172" max="7172" width="13.875" style="43" customWidth="1"/>
    <col min="7173" max="7173" width="16.75" style="43" customWidth="1"/>
    <col min="7174" max="7174" width="13.625" style="43" customWidth="1"/>
    <col min="7175" max="7175" width="16" style="43" customWidth="1"/>
    <col min="7176" max="7176" width="13.75" style="43" customWidth="1"/>
    <col min="7177" max="7424" width="9" style="43"/>
    <col min="7425" max="7425" width="12.75" style="43" customWidth="1"/>
    <col min="7426" max="7426" width="20.5" style="43" customWidth="1"/>
    <col min="7427" max="7427" width="23.25" style="43" customWidth="1"/>
    <col min="7428" max="7428" width="13.875" style="43" customWidth="1"/>
    <col min="7429" max="7429" width="16.75" style="43" customWidth="1"/>
    <col min="7430" max="7430" width="13.625" style="43" customWidth="1"/>
    <col min="7431" max="7431" width="16" style="43" customWidth="1"/>
    <col min="7432" max="7432" width="13.75" style="43" customWidth="1"/>
    <col min="7433" max="7680" width="9" style="43"/>
    <col min="7681" max="7681" width="12.75" style="43" customWidth="1"/>
    <col min="7682" max="7682" width="20.5" style="43" customWidth="1"/>
    <col min="7683" max="7683" width="23.25" style="43" customWidth="1"/>
    <col min="7684" max="7684" width="13.875" style="43" customWidth="1"/>
    <col min="7685" max="7685" width="16.75" style="43" customWidth="1"/>
    <col min="7686" max="7686" width="13.625" style="43" customWidth="1"/>
    <col min="7687" max="7687" width="16" style="43" customWidth="1"/>
    <col min="7688" max="7688" width="13.75" style="43" customWidth="1"/>
    <col min="7689" max="7936" width="9" style="43"/>
    <col min="7937" max="7937" width="12.75" style="43" customWidth="1"/>
    <col min="7938" max="7938" width="20.5" style="43" customWidth="1"/>
    <col min="7939" max="7939" width="23.25" style="43" customWidth="1"/>
    <col min="7940" max="7940" width="13.875" style="43" customWidth="1"/>
    <col min="7941" max="7941" width="16.75" style="43" customWidth="1"/>
    <col min="7942" max="7942" width="13.625" style="43" customWidth="1"/>
    <col min="7943" max="7943" width="16" style="43" customWidth="1"/>
    <col min="7944" max="7944" width="13.75" style="43" customWidth="1"/>
    <col min="7945" max="8192" width="9" style="43"/>
    <col min="8193" max="8193" width="12.75" style="43" customWidth="1"/>
    <col min="8194" max="8194" width="20.5" style="43" customWidth="1"/>
    <col min="8195" max="8195" width="23.25" style="43" customWidth="1"/>
    <col min="8196" max="8196" width="13.875" style="43" customWidth="1"/>
    <col min="8197" max="8197" width="16.75" style="43" customWidth="1"/>
    <col min="8198" max="8198" width="13.625" style="43" customWidth="1"/>
    <col min="8199" max="8199" width="16" style="43" customWidth="1"/>
    <col min="8200" max="8200" width="13.75" style="43" customWidth="1"/>
    <col min="8201" max="8448" width="9" style="43"/>
    <col min="8449" max="8449" width="12.75" style="43" customWidth="1"/>
    <col min="8450" max="8450" width="20.5" style="43" customWidth="1"/>
    <col min="8451" max="8451" width="23.25" style="43" customWidth="1"/>
    <col min="8452" max="8452" width="13.875" style="43" customWidth="1"/>
    <col min="8453" max="8453" width="16.75" style="43" customWidth="1"/>
    <col min="8454" max="8454" width="13.625" style="43" customWidth="1"/>
    <col min="8455" max="8455" width="16" style="43" customWidth="1"/>
    <col min="8456" max="8456" width="13.75" style="43" customWidth="1"/>
    <col min="8457" max="8704" width="9" style="43"/>
    <col min="8705" max="8705" width="12.75" style="43" customWidth="1"/>
    <col min="8706" max="8706" width="20.5" style="43" customWidth="1"/>
    <col min="8707" max="8707" width="23.25" style="43" customWidth="1"/>
    <col min="8708" max="8708" width="13.875" style="43" customWidth="1"/>
    <col min="8709" max="8709" width="16.75" style="43" customWidth="1"/>
    <col min="8710" max="8710" width="13.625" style="43" customWidth="1"/>
    <col min="8711" max="8711" width="16" style="43" customWidth="1"/>
    <col min="8712" max="8712" width="13.75" style="43" customWidth="1"/>
    <col min="8713" max="8960" width="9" style="43"/>
    <col min="8961" max="8961" width="12.75" style="43" customWidth="1"/>
    <col min="8962" max="8962" width="20.5" style="43" customWidth="1"/>
    <col min="8963" max="8963" width="23.25" style="43" customWidth="1"/>
    <col min="8964" max="8964" width="13.875" style="43" customWidth="1"/>
    <col min="8965" max="8965" width="16.75" style="43" customWidth="1"/>
    <col min="8966" max="8966" width="13.625" style="43" customWidth="1"/>
    <col min="8967" max="8967" width="16" style="43" customWidth="1"/>
    <col min="8968" max="8968" width="13.75" style="43" customWidth="1"/>
    <col min="8969" max="9216" width="9" style="43"/>
    <col min="9217" max="9217" width="12.75" style="43" customWidth="1"/>
    <col min="9218" max="9218" width="20.5" style="43" customWidth="1"/>
    <col min="9219" max="9219" width="23.25" style="43" customWidth="1"/>
    <col min="9220" max="9220" width="13.875" style="43" customWidth="1"/>
    <col min="9221" max="9221" width="16.75" style="43" customWidth="1"/>
    <col min="9222" max="9222" width="13.625" style="43" customWidth="1"/>
    <col min="9223" max="9223" width="16" style="43" customWidth="1"/>
    <col min="9224" max="9224" width="13.75" style="43" customWidth="1"/>
    <col min="9225" max="9472" width="9" style="43"/>
    <col min="9473" max="9473" width="12.75" style="43" customWidth="1"/>
    <col min="9474" max="9474" width="20.5" style="43" customWidth="1"/>
    <col min="9475" max="9475" width="23.25" style="43" customWidth="1"/>
    <col min="9476" max="9476" width="13.875" style="43" customWidth="1"/>
    <col min="9477" max="9477" width="16.75" style="43" customWidth="1"/>
    <col min="9478" max="9478" width="13.625" style="43" customWidth="1"/>
    <col min="9479" max="9479" width="16" style="43" customWidth="1"/>
    <col min="9480" max="9480" width="13.75" style="43" customWidth="1"/>
    <col min="9481" max="9728" width="9" style="43"/>
    <col min="9729" max="9729" width="12.75" style="43" customWidth="1"/>
    <col min="9730" max="9730" width="20.5" style="43" customWidth="1"/>
    <col min="9731" max="9731" width="23.25" style="43" customWidth="1"/>
    <col min="9732" max="9732" width="13.875" style="43" customWidth="1"/>
    <col min="9733" max="9733" width="16.75" style="43" customWidth="1"/>
    <col min="9734" max="9734" width="13.625" style="43" customWidth="1"/>
    <col min="9735" max="9735" width="16" style="43" customWidth="1"/>
    <col min="9736" max="9736" width="13.75" style="43" customWidth="1"/>
    <col min="9737" max="9984" width="9" style="43"/>
    <col min="9985" max="9985" width="12.75" style="43" customWidth="1"/>
    <col min="9986" max="9986" width="20.5" style="43" customWidth="1"/>
    <col min="9987" max="9987" width="23.25" style="43" customWidth="1"/>
    <col min="9988" max="9988" width="13.875" style="43" customWidth="1"/>
    <col min="9989" max="9989" width="16.75" style="43" customWidth="1"/>
    <col min="9990" max="9990" width="13.625" style="43" customWidth="1"/>
    <col min="9991" max="9991" width="16" style="43" customWidth="1"/>
    <col min="9992" max="9992" width="13.75" style="43" customWidth="1"/>
    <col min="9993" max="10240" width="9" style="43"/>
    <col min="10241" max="10241" width="12.75" style="43" customWidth="1"/>
    <col min="10242" max="10242" width="20.5" style="43" customWidth="1"/>
    <col min="10243" max="10243" width="23.25" style="43" customWidth="1"/>
    <col min="10244" max="10244" width="13.875" style="43" customWidth="1"/>
    <col min="10245" max="10245" width="16.75" style="43" customWidth="1"/>
    <col min="10246" max="10246" width="13.625" style="43" customWidth="1"/>
    <col min="10247" max="10247" width="16" style="43" customWidth="1"/>
    <col min="10248" max="10248" width="13.75" style="43" customWidth="1"/>
    <col min="10249" max="10496" width="9" style="43"/>
    <col min="10497" max="10497" width="12.75" style="43" customWidth="1"/>
    <col min="10498" max="10498" width="20.5" style="43" customWidth="1"/>
    <col min="10499" max="10499" width="23.25" style="43" customWidth="1"/>
    <col min="10500" max="10500" width="13.875" style="43" customWidth="1"/>
    <col min="10501" max="10501" width="16.75" style="43" customWidth="1"/>
    <col min="10502" max="10502" width="13.625" style="43" customWidth="1"/>
    <col min="10503" max="10503" width="16" style="43" customWidth="1"/>
    <col min="10504" max="10504" width="13.75" style="43" customWidth="1"/>
    <col min="10505" max="10752" width="9" style="43"/>
    <col min="10753" max="10753" width="12.75" style="43" customWidth="1"/>
    <col min="10754" max="10754" width="20.5" style="43" customWidth="1"/>
    <col min="10755" max="10755" width="23.25" style="43" customWidth="1"/>
    <col min="10756" max="10756" width="13.875" style="43" customWidth="1"/>
    <col min="10757" max="10757" width="16.75" style="43" customWidth="1"/>
    <col min="10758" max="10758" width="13.625" style="43" customWidth="1"/>
    <col min="10759" max="10759" width="16" style="43" customWidth="1"/>
    <col min="10760" max="10760" width="13.75" style="43" customWidth="1"/>
    <col min="10761" max="11008" width="9" style="43"/>
    <col min="11009" max="11009" width="12.75" style="43" customWidth="1"/>
    <col min="11010" max="11010" width="20.5" style="43" customWidth="1"/>
    <col min="11011" max="11011" width="23.25" style="43" customWidth="1"/>
    <col min="11012" max="11012" width="13.875" style="43" customWidth="1"/>
    <col min="11013" max="11013" width="16.75" style="43" customWidth="1"/>
    <col min="11014" max="11014" width="13.625" style="43" customWidth="1"/>
    <col min="11015" max="11015" width="16" style="43" customWidth="1"/>
    <col min="11016" max="11016" width="13.75" style="43" customWidth="1"/>
    <col min="11017" max="11264" width="9" style="43"/>
    <col min="11265" max="11265" width="12.75" style="43" customWidth="1"/>
    <col min="11266" max="11266" width="20.5" style="43" customWidth="1"/>
    <col min="11267" max="11267" width="23.25" style="43" customWidth="1"/>
    <col min="11268" max="11268" width="13.875" style="43" customWidth="1"/>
    <col min="11269" max="11269" width="16.75" style="43" customWidth="1"/>
    <col min="11270" max="11270" width="13.625" style="43" customWidth="1"/>
    <col min="11271" max="11271" width="16" style="43" customWidth="1"/>
    <col min="11272" max="11272" width="13.75" style="43" customWidth="1"/>
    <col min="11273" max="11520" width="9" style="43"/>
    <col min="11521" max="11521" width="12.75" style="43" customWidth="1"/>
    <col min="11522" max="11522" width="20.5" style="43" customWidth="1"/>
    <col min="11523" max="11523" width="23.25" style="43" customWidth="1"/>
    <col min="11524" max="11524" width="13.875" style="43" customWidth="1"/>
    <col min="11525" max="11525" width="16.75" style="43" customWidth="1"/>
    <col min="11526" max="11526" width="13.625" style="43" customWidth="1"/>
    <col min="11527" max="11527" width="16" style="43" customWidth="1"/>
    <col min="11528" max="11528" width="13.75" style="43" customWidth="1"/>
    <col min="11529" max="11776" width="9" style="43"/>
    <col min="11777" max="11777" width="12.75" style="43" customWidth="1"/>
    <col min="11778" max="11778" width="20.5" style="43" customWidth="1"/>
    <col min="11779" max="11779" width="23.25" style="43" customWidth="1"/>
    <col min="11780" max="11780" width="13.875" style="43" customWidth="1"/>
    <col min="11781" max="11781" width="16.75" style="43" customWidth="1"/>
    <col min="11782" max="11782" width="13.625" style="43" customWidth="1"/>
    <col min="11783" max="11783" width="16" style="43" customWidth="1"/>
    <col min="11784" max="11784" width="13.75" style="43" customWidth="1"/>
    <col min="11785" max="12032" width="9" style="43"/>
    <col min="12033" max="12033" width="12.75" style="43" customWidth="1"/>
    <col min="12034" max="12034" width="20.5" style="43" customWidth="1"/>
    <col min="12035" max="12035" width="23.25" style="43" customWidth="1"/>
    <col min="12036" max="12036" width="13.875" style="43" customWidth="1"/>
    <col min="12037" max="12037" width="16.75" style="43" customWidth="1"/>
    <col min="12038" max="12038" width="13.625" style="43" customWidth="1"/>
    <col min="12039" max="12039" width="16" style="43" customWidth="1"/>
    <col min="12040" max="12040" width="13.75" style="43" customWidth="1"/>
    <col min="12041" max="12288" width="9" style="43"/>
    <col min="12289" max="12289" width="12.75" style="43" customWidth="1"/>
    <col min="12290" max="12290" width="20.5" style="43" customWidth="1"/>
    <col min="12291" max="12291" width="23.25" style="43" customWidth="1"/>
    <col min="12292" max="12292" width="13.875" style="43" customWidth="1"/>
    <col min="12293" max="12293" width="16.75" style="43" customWidth="1"/>
    <col min="12294" max="12294" width="13.625" style="43" customWidth="1"/>
    <col min="12295" max="12295" width="16" style="43" customWidth="1"/>
    <col min="12296" max="12296" width="13.75" style="43" customWidth="1"/>
    <col min="12297" max="12544" width="9" style="43"/>
    <col min="12545" max="12545" width="12.75" style="43" customWidth="1"/>
    <col min="12546" max="12546" width="20.5" style="43" customWidth="1"/>
    <col min="12547" max="12547" width="23.25" style="43" customWidth="1"/>
    <col min="12548" max="12548" width="13.875" style="43" customWidth="1"/>
    <col min="12549" max="12549" width="16.75" style="43" customWidth="1"/>
    <col min="12550" max="12550" width="13.625" style="43" customWidth="1"/>
    <col min="12551" max="12551" width="16" style="43" customWidth="1"/>
    <col min="12552" max="12552" width="13.75" style="43" customWidth="1"/>
    <col min="12553" max="12800" width="9" style="43"/>
    <col min="12801" max="12801" width="12.75" style="43" customWidth="1"/>
    <col min="12802" max="12802" width="20.5" style="43" customWidth="1"/>
    <col min="12803" max="12803" width="23.25" style="43" customWidth="1"/>
    <col min="12804" max="12804" width="13.875" style="43" customWidth="1"/>
    <col min="12805" max="12805" width="16.75" style="43" customWidth="1"/>
    <col min="12806" max="12806" width="13.625" style="43" customWidth="1"/>
    <col min="12807" max="12807" width="16" style="43" customWidth="1"/>
    <col min="12808" max="12808" width="13.75" style="43" customWidth="1"/>
    <col min="12809" max="13056" width="9" style="43"/>
    <col min="13057" max="13057" width="12.75" style="43" customWidth="1"/>
    <col min="13058" max="13058" width="20.5" style="43" customWidth="1"/>
    <col min="13059" max="13059" width="23.25" style="43" customWidth="1"/>
    <col min="13060" max="13060" width="13.875" style="43" customWidth="1"/>
    <col min="13061" max="13061" width="16.75" style="43" customWidth="1"/>
    <col min="13062" max="13062" width="13.625" style="43" customWidth="1"/>
    <col min="13063" max="13063" width="16" style="43" customWidth="1"/>
    <col min="13064" max="13064" width="13.75" style="43" customWidth="1"/>
    <col min="13065" max="13312" width="9" style="43"/>
    <col min="13313" max="13313" width="12.75" style="43" customWidth="1"/>
    <col min="13314" max="13314" width="20.5" style="43" customWidth="1"/>
    <col min="13315" max="13315" width="23.25" style="43" customWidth="1"/>
    <col min="13316" max="13316" width="13.875" style="43" customWidth="1"/>
    <col min="13317" max="13317" width="16.75" style="43" customWidth="1"/>
    <col min="13318" max="13318" width="13.625" style="43" customWidth="1"/>
    <col min="13319" max="13319" width="16" style="43" customWidth="1"/>
    <col min="13320" max="13320" width="13.75" style="43" customWidth="1"/>
    <col min="13321" max="13568" width="9" style="43"/>
    <col min="13569" max="13569" width="12.75" style="43" customWidth="1"/>
    <col min="13570" max="13570" width="20.5" style="43" customWidth="1"/>
    <col min="13571" max="13571" width="23.25" style="43" customWidth="1"/>
    <col min="13572" max="13572" width="13.875" style="43" customWidth="1"/>
    <col min="13573" max="13573" width="16.75" style="43" customWidth="1"/>
    <col min="13574" max="13574" width="13.625" style="43" customWidth="1"/>
    <col min="13575" max="13575" width="16" style="43" customWidth="1"/>
    <col min="13576" max="13576" width="13.75" style="43" customWidth="1"/>
    <col min="13577" max="13824" width="9" style="43"/>
    <col min="13825" max="13825" width="12.75" style="43" customWidth="1"/>
    <col min="13826" max="13826" width="20.5" style="43" customWidth="1"/>
    <col min="13827" max="13827" width="23.25" style="43" customWidth="1"/>
    <col min="13828" max="13828" width="13.875" style="43" customWidth="1"/>
    <col min="13829" max="13829" width="16.75" style="43" customWidth="1"/>
    <col min="13830" max="13830" width="13.625" style="43" customWidth="1"/>
    <col min="13831" max="13831" width="16" style="43" customWidth="1"/>
    <col min="13832" max="13832" width="13.75" style="43" customWidth="1"/>
    <col min="13833" max="14080" width="9" style="43"/>
    <col min="14081" max="14081" width="12.75" style="43" customWidth="1"/>
    <col min="14082" max="14082" width="20.5" style="43" customWidth="1"/>
    <col min="14083" max="14083" width="23.25" style="43" customWidth="1"/>
    <col min="14084" max="14084" width="13.875" style="43" customWidth="1"/>
    <col min="14085" max="14085" width="16.75" style="43" customWidth="1"/>
    <col min="14086" max="14086" width="13.625" style="43" customWidth="1"/>
    <col min="14087" max="14087" width="16" style="43" customWidth="1"/>
    <col min="14088" max="14088" width="13.75" style="43" customWidth="1"/>
    <col min="14089" max="14336" width="9" style="43"/>
    <col min="14337" max="14337" width="12.75" style="43" customWidth="1"/>
    <col min="14338" max="14338" width="20.5" style="43" customWidth="1"/>
    <col min="14339" max="14339" width="23.25" style="43" customWidth="1"/>
    <col min="14340" max="14340" width="13.875" style="43" customWidth="1"/>
    <col min="14341" max="14341" width="16.75" style="43" customWidth="1"/>
    <col min="14342" max="14342" width="13.625" style="43" customWidth="1"/>
    <col min="14343" max="14343" width="16" style="43" customWidth="1"/>
    <col min="14344" max="14344" width="13.75" style="43" customWidth="1"/>
    <col min="14345" max="14592" width="9" style="43"/>
    <col min="14593" max="14593" width="12.75" style="43" customWidth="1"/>
    <col min="14594" max="14594" width="20.5" style="43" customWidth="1"/>
    <col min="14595" max="14595" width="23.25" style="43" customWidth="1"/>
    <col min="14596" max="14596" width="13.875" style="43" customWidth="1"/>
    <col min="14597" max="14597" width="16.75" style="43" customWidth="1"/>
    <col min="14598" max="14598" width="13.625" style="43" customWidth="1"/>
    <col min="14599" max="14599" width="16" style="43" customWidth="1"/>
    <col min="14600" max="14600" width="13.75" style="43" customWidth="1"/>
    <col min="14601" max="14848" width="9" style="43"/>
    <col min="14849" max="14849" width="12.75" style="43" customWidth="1"/>
    <col min="14850" max="14850" width="20.5" style="43" customWidth="1"/>
    <col min="14851" max="14851" width="23.25" style="43" customWidth="1"/>
    <col min="14852" max="14852" width="13.875" style="43" customWidth="1"/>
    <col min="14853" max="14853" width="16.75" style="43" customWidth="1"/>
    <col min="14854" max="14854" width="13.625" style="43" customWidth="1"/>
    <col min="14855" max="14855" width="16" style="43" customWidth="1"/>
    <col min="14856" max="14856" width="13.75" style="43" customWidth="1"/>
    <col min="14857" max="15104" width="9" style="43"/>
    <col min="15105" max="15105" width="12.75" style="43" customWidth="1"/>
    <col min="15106" max="15106" width="20.5" style="43" customWidth="1"/>
    <col min="15107" max="15107" width="23.25" style="43" customWidth="1"/>
    <col min="15108" max="15108" width="13.875" style="43" customWidth="1"/>
    <col min="15109" max="15109" width="16.75" style="43" customWidth="1"/>
    <col min="15110" max="15110" width="13.625" style="43" customWidth="1"/>
    <col min="15111" max="15111" width="16" style="43" customWidth="1"/>
    <col min="15112" max="15112" width="13.75" style="43" customWidth="1"/>
    <col min="15113" max="15360" width="9" style="43"/>
    <col min="15361" max="15361" width="12.75" style="43" customWidth="1"/>
    <col min="15362" max="15362" width="20.5" style="43" customWidth="1"/>
    <col min="15363" max="15363" width="23.25" style="43" customWidth="1"/>
    <col min="15364" max="15364" width="13.875" style="43" customWidth="1"/>
    <col min="15365" max="15365" width="16.75" style="43" customWidth="1"/>
    <col min="15366" max="15366" width="13.625" style="43" customWidth="1"/>
    <col min="15367" max="15367" width="16" style="43" customWidth="1"/>
    <col min="15368" max="15368" width="13.75" style="43" customWidth="1"/>
    <col min="15369" max="15616" width="9" style="43"/>
    <col min="15617" max="15617" width="12.75" style="43" customWidth="1"/>
    <col min="15618" max="15618" width="20.5" style="43" customWidth="1"/>
    <col min="15619" max="15619" width="23.25" style="43" customWidth="1"/>
    <col min="15620" max="15620" width="13.875" style="43" customWidth="1"/>
    <col min="15621" max="15621" width="16.75" style="43" customWidth="1"/>
    <col min="15622" max="15622" width="13.625" style="43" customWidth="1"/>
    <col min="15623" max="15623" width="16" style="43" customWidth="1"/>
    <col min="15624" max="15624" width="13.75" style="43" customWidth="1"/>
    <col min="15625" max="15872" width="9" style="43"/>
    <col min="15873" max="15873" width="12.75" style="43" customWidth="1"/>
    <col min="15874" max="15874" width="20.5" style="43" customWidth="1"/>
    <col min="15875" max="15875" width="23.25" style="43" customWidth="1"/>
    <col min="15876" max="15876" width="13.875" style="43" customWidth="1"/>
    <col min="15877" max="15877" width="16.75" style="43" customWidth="1"/>
    <col min="15878" max="15878" width="13.625" style="43" customWidth="1"/>
    <col min="15879" max="15879" width="16" style="43" customWidth="1"/>
    <col min="15880" max="15880" width="13.75" style="43" customWidth="1"/>
    <col min="15881" max="16128" width="9" style="43"/>
    <col min="16129" max="16129" width="12.75" style="43" customWidth="1"/>
    <col min="16130" max="16130" width="20.5" style="43" customWidth="1"/>
    <col min="16131" max="16131" width="23.25" style="43" customWidth="1"/>
    <col min="16132" max="16132" width="13.875" style="43" customWidth="1"/>
    <col min="16133" max="16133" width="16.75" style="43" customWidth="1"/>
    <col min="16134" max="16134" width="13.625" style="43" customWidth="1"/>
    <col min="16135" max="16135" width="16" style="43" customWidth="1"/>
    <col min="16136" max="16136" width="13.75" style="43" customWidth="1"/>
    <col min="16137" max="16384" width="9" style="43"/>
  </cols>
  <sheetData>
    <row r="1" spans="1:8">
      <c r="A1" s="771" t="s">
        <v>264</v>
      </c>
      <c r="B1" s="772"/>
      <c r="C1" s="772"/>
      <c r="D1" s="772"/>
      <c r="E1" s="772"/>
      <c r="F1" s="772"/>
      <c r="G1" s="772"/>
      <c r="H1" s="772"/>
    </row>
    <row r="2" spans="1:8">
      <c r="A2" s="771" t="s">
        <v>276</v>
      </c>
      <c r="B2" s="772"/>
      <c r="C2" s="772"/>
      <c r="D2" s="772"/>
      <c r="E2" s="772"/>
      <c r="F2" s="772"/>
      <c r="G2" s="772"/>
      <c r="H2" s="772"/>
    </row>
    <row r="3" spans="1:8">
      <c r="A3" s="771" t="s">
        <v>1013</v>
      </c>
      <c r="B3" s="772"/>
      <c r="C3" s="772"/>
      <c r="D3" s="772"/>
      <c r="E3" s="772"/>
      <c r="F3" s="772"/>
      <c r="G3" s="772"/>
      <c r="H3" s="772"/>
    </row>
    <row r="5" spans="1:8">
      <c r="A5" s="773" t="s">
        <v>65</v>
      </c>
      <c r="B5" s="775" t="s">
        <v>50</v>
      </c>
      <c r="C5" s="775" t="s">
        <v>39</v>
      </c>
      <c r="D5" s="777" t="s">
        <v>66</v>
      </c>
      <c r="E5" s="777" t="s">
        <v>125</v>
      </c>
      <c r="F5" s="777" t="s">
        <v>82</v>
      </c>
      <c r="G5" s="777" t="s">
        <v>83</v>
      </c>
      <c r="H5" s="777" t="s">
        <v>35</v>
      </c>
    </row>
    <row r="6" spans="1:8" ht="52.5" customHeight="1">
      <c r="A6" s="774"/>
      <c r="B6" s="776"/>
      <c r="C6" s="776"/>
      <c r="D6" s="778"/>
      <c r="E6" s="778"/>
      <c r="F6" s="778"/>
      <c r="G6" s="778"/>
      <c r="H6" s="778"/>
    </row>
    <row r="7" spans="1:8">
      <c r="A7" s="50" t="s">
        <v>96</v>
      </c>
      <c r="B7" s="50"/>
      <c r="C7" s="50"/>
      <c r="D7" s="54"/>
      <c r="E7" s="54"/>
      <c r="F7" s="54"/>
      <c r="G7" s="54"/>
      <c r="H7" s="54"/>
    </row>
    <row r="8" spans="1:8">
      <c r="A8" s="52" t="s">
        <v>69</v>
      </c>
      <c r="B8" s="53" t="s">
        <v>268</v>
      </c>
      <c r="C8" s="53" t="s">
        <v>197</v>
      </c>
      <c r="D8" s="54"/>
      <c r="E8" s="54"/>
      <c r="F8" s="54"/>
      <c r="G8" s="54"/>
      <c r="H8" s="54">
        <f>SUM(E8:G8)</f>
        <v>0</v>
      </c>
    </row>
    <row r="9" spans="1:8">
      <c r="A9" s="52"/>
      <c r="B9" s="53" t="s">
        <v>269</v>
      </c>
      <c r="C9" s="53" t="s">
        <v>197</v>
      </c>
      <c r="D9" s="54"/>
      <c r="E9" s="54"/>
      <c r="F9" s="54"/>
      <c r="G9" s="54"/>
      <c r="H9" s="54">
        <f>SUM(E9:G9)</f>
        <v>0</v>
      </c>
    </row>
    <row r="10" spans="1:8">
      <c r="A10" s="52" t="s">
        <v>70</v>
      </c>
      <c r="B10" s="53" t="s">
        <v>270</v>
      </c>
      <c r="C10" s="53" t="s">
        <v>197</v>
      </c>
      <c r="D10" s="54">
        <f>'Sheet3 (โอน)'!D90</f>
        <v>50000</v>
      </c>
      <c r="E10" s="54"/>
      <c r="F10" s="54"/>
      <c r="G10" s="54">
        <f>'Sheet3 (โอน)'!E90</f>
        <v>42000</v>
      </c>
      <c r="H10" s="54">
        <f>SUM(E10:G10)</f>
        <v>42000</v>
      </c>
    </row>
    <row r="11" spans="1:8">
      <c r="A11" s="52"/>
      <c r="B11" s="53" t="s">
        <v>271</v>
      </c>
      <c r="C11" s="53" t="s">
        <v>197</v>
      </c>
      <c r="D11" s="54">
        <f>'Sheet3 (โอน)'!D155</f>
        <v>150000</v>
      </c>
      <c r="E11" s="54"/>
      <c r="F11" s="54"/>
      <c r="G11" s="54">
        <f>'Sheet3 (โอน)'!E155</f>
        <v>40287.800000000003</v>
      </c>
      <c r="H11" s="54">
        <f t="shared" ref="H11:H17" si="0">SUM(E11:G11)</f>
        <v>40287.800000000003</v>
      </c>
    </row>
    <row r="12" spans="1:8">
      <c r="A12" s="52"/>
      <c r="B12" s="53" t="s">
        <v>272</v>
      </c>
      <c r="C12" s="53" t="s">
        <v>197</v>
      </c>
      <c r="D12" s="54">
        <f>'Sheet3 (โอน)'!D261</f>
        <v>5500</v>
      </c>
      <c r="E12" s="54"/>
      <c r="F12" s="54"/>
      <c r="G12" s="54">
        <f>'Sheet3 (โอน)'!E261</f>
        <v>5500</v>
      </c>
      <c r="H12" s="54">
        <f t="shared" si="0"/>
        <v>5500</v>
      </c>
    </row>
    <row r="13" spans="1:8">
      <c r="A13" s="52"/>
      <c r="B13" s="53" t="s">
        <v>74</v>
      </c>
      <c r="C13" s="53" t="s">
        <v>197</v>
      </c>
      <c r="D13" s="54"/>
      <c r="E13" s="54"/>
      <c r="F13" s="54"/>
      <c r="G13" s="54"/>
      <c r="H13" s="54">
        <f t="shared" si="0"/>
        <v>0</v>
      </c>
    </row>
    <row r="14" spans="1:8">
      <c r="A14" s="52" t="s">
        <v>75</v>
      </c>
      <c r="B14" s="53" t="s">
        <v>273</v>
      </c>
      <c r="C14" s="53" t="s">
        <v>197</v>
      </c>
      <c r="D14" s="54">
        <v>7500</v>
      </c>
      <c r="E14" s="54"/>
      <c r="F14" s="54"/>
      <c r="G14" s="54">
        <f>'Sheet3 (โอน)'!E392</f>
        <v>7500</v>
      </c>
      <c r="H14" s="54">
        <f t="shared" si="0"/>
        <v>7500</v>
      </c>
    </row>
    <row r="15" spans="1:8">
      <c r="A15" s="52"/>
      <c r="B15" s="53" t="s">
        <v>274</v>
      </c>
      <c r="C15" s="53" t="s">
        <v>197</v>
      </c>
      <c r="D15" s="54"/>
      <c r="E15" s="54"/>
      <c r="F15" s="54"/>
      <c r="G15" s="54"/>
      <c r="H15" s="54">
        <f t="shared" si="0"/>
        <v>0</v>
      </c>
    </row>
    <row r="16" spans="1:8">
      <c r="A16" s="52" t="s">
        <v>78</v>
      </c>
      <c r="B16" s="53" t="s">
        <v>79</v>
      </c>
      <c r="C16" s="53" t="s">
        <v>197</v>
      </c>
      <c r="D16" s="54"/>
      <c r="E16" s="54"/>
      <c r="F16" s="54"/>
      <c r="G16" s="54"/>
      <c r="H16" s="54">
        <f t="shared" si="0"/>
        <v>0</v>
      </c>
    </row>
    <row r="17" spans="1:9">
      <c r="A17" s="52" t="s">
        <v>80</v>
      </c>
      <c r="B17" s="53" t="s">
        <v>275</v>
      </c>
      <c r="C17" s="53" t="s">
        <v>197</v>
      </c>
      <c r="D17" s="54"/>
      <c r="E17" s="54"/>
      <c r="F17" s="54"/>
      <c r="G17" s="54"/>
      <c r="H17" s="54">
        <f t="shared" si="0"/>
        <v>0</v>
      </c>
    </row>
    <row r="18" spans="1:9">
      <c r="A18" s="768" t="s">
        <v>35</v>
      </c>
      <c r="B18" s="769"/>
      <c r="C18" s="770"/>
      <c r="D18" s="55">
        <f>SUM(D8:D17)</f>
        <v>213000</v>
      </c>
      <c r="E18" s="55">
        <f>SUM(E8:E17)</f>
        <v>0</v>
      </c>
      <c r="F18" s="55">
        <f>SUM(F8:F17)</f>
        <v>0</v>
      </c>
      <c r="G18" s="55">
        <f>SUM(G8:G17)</f>
        <v>95287.8</v>
      </c>
      <c r="H18" s="55">
        <f>SUM(H8:H17)</f>
        <v>95287.8</v>
      </c>
    </row>
    <row r="20" spans="1:9" s="293" customFormat="1" ht="21">
      <c r="A20" s="293" t="s">
        <v>64</v>
      </c>
      <c r="D20" s="321"/>
      <c r="E20" s="321"/>
      <c r="F20" s="321"/>
      <c r="G20" s="321"/>
      <c r="H20" s="321"/>
      <c r="I20" s="321"/>
    </row>
  </sheetData>
  <mergeCells count="12">
    <mergeCell ref="H5:H6"/>
    <mergeCell ref="A18:C18"/>
    <mergeCell ref="A1:H1"/>
    <mergeCell ref="A2:H2"/>
    <mergeCell ref="A3:H3"/>
    <mergeCell ref="A5:A6"/>
    <mergeCell ref="B5:B6"/>
    <mergeCell ref="C5:C6"/>
    <mergeCell ref="D5:D6"/>
    <mergeCell ref="E5:E6"/>
    <mergeCell ref="F5:F6"/>
    <mergeCell ref="G5:G6"/>
  </mergeCells>
  <pageMargins left="0.36" right="0.2" top="0.4" bottom="0.38" header="0.31496062992125984" footer="0.31496062992125984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I11" sqref="I11:J14"/>
    </sheetView>
  </sheetViews>
  <sheetFormatPr defaultColWidth="14.25" defaultRowHeight="24.75"/>
  <cols>
    <col min="1" max="1" width="15.375" style="43" customWidth="1"/>
    <col min="2" max="2" width="20.75" style="43" customWidth="1"/>
    <col min="3" max="3" width="19.75" style="43" customWidth="1"/>
    <col min="4" max="7" width="14.25" style="56" customWidth="1"/>
    <col min="8" max="8" width="17" style="56" customWidth="1"/>
    <col min="9" max="256" width="14.25" style="43"/>
    <col min="257" max="257" width="11.5" style="43" customWidth="1"/>
    <col min="258" max="258" width="20.25" style="43" customWidth="1"/>
    <col min="259" max="259" width="19.75" style="43" customWidth="1"/>
    <col min="260" max="263" width="14.25" style="43" customWidth="1"/>
    <col min="264" max="264" width="17" style="43" customWidth="1"/>
    <col min="265" max="512" width="14.25" style="43"/>
    <col min="513" max="513" width="11.5" style="43" customWidth="1"/>
    <col min="514" max="514" width="20.25" style="43" customWidth="1"/>
    <col min="515" max="515" width="19.75" style="43" customWidth="1"/>
    <col min="516" max="519" width="14.25" style="43" customWidth="1"/>
    <col min="520" max="520" width="17" style="43" customWidth="1"/>
    <col min="521" max="768" width="14.25" style="43"/>
    <col min="769" max="769" width="11.5" style="43" customWidth="1"/>
    <col min="770" max="770" width="20.25" style="43" customWidth="1"/>
    <col min="771" max="771" width="19.75" style="43" customWidth="1"/>
    <col min="772" max="775" width="14.25" style="43" customWidth="1"/>
    <col min="776" max="776" width="17" style="43" customWidth="1"/>
    <col min="777" max="1024" width="14.25" style="43"/>
    <col min="1025" max="1025" width="11.5" style="43" customWidth="1"/>
    <col min="1026" max="1026" width="20.25" style="43" customWidth="1"/>
    <col min="1027" max="1027" width="19.75" style="43" customWidth="1"/>
    <col min="1028" max="1031" width="14.25" style="43" customWidth="1"/>
    <col min="1032" max="1032" width="17" style="43" customWidth="1"/>
    <col min="1033" max="1280" width="14.25" style="43"/>
    <col min="1281" max="1281" width="11.5" style="43" customWidth="1"/>
    <col min="1282" max="1282" width="20.25" style="43" customWidth="1"/>
    <col min="1283" max="1283" width="19.75" style="43" customWidth="1"/>
    <col min="1284" max="1287" width="14.25" style="43" customWidth="1"/>
    <col min="1288" max="1288" width="17" style="43" customWidth="1"/>
    <col min="1289" max="1536" width="14.25" style="43"/>
    <col min="1537" max="1537" width="11.5" style="43" customWidth="1"/>
    <col min="1538" max="1538" width="20.25" style="43" customWidth="1"/>
    <col min="1539" max="1539" width="19.75" style="43" customWidth="1"/>
    <col min="1540" max="1543" width="14.25" style="43" customWidth="1"/>
    <col min="1544" max="1544" width="17" style="43" customWidth="1"/>
    <col min="1545" max="1792" width="14.25" style="43"/>
    <col min="1793" max="1793" width="11.5" style="43" customWidth="1"/>
    <col min="1794" max="1794" width="20.25" style="43" customWidth="1"/>
    <col min="1795" max="1795" width="19.75" style="43" customWidth="1"/>
    <col min="1796" max="1799" width="14.25" style="43" customWidth="1"/>
    <col min="1800" max="1800" width="17" style="43" customWidth="1"/>
    <col min="1801" max="2048" width="14.25" style="43"/>
    <col min="2049" max="2049" width="11.5" style="43" customWidth="1"/>
    <col min="2050" max="2050" width="20.25" style="43" customWidth="1"/>
    <col min="2051" max="2051" width="19.75" style="43" customWidth="1"/>
    <col min="2052" max="2055" width="14.25" style="43" customWidth="1"/>
    <col min="2056" max="2056" width="17" style="43" customWidth="1"/>
    <col min="2057" max="2304" width="14.25" style="43"/>
    <col min="2305" max="2305" width="11.5" style="43" customWidth="1"/>
    <col min="2306" max="2306" width="20.25" style="43" customWidth="1"/>
    <col min="2307" max="2307" width="19.75" style="43" customWidth="1"/>
    <col min="2308" max="2311" width="14.25" style="43" customWidth="1"/>
    <col min="2312" max="2312" width="17" style="43" customWidth="1"/>
    <col min="2313" max="2560" width="14.25" style="43"/>
    <col min="2561" max="2561" width="11.5" style="43" customWidth="1"/>
    <col min="2562" max="2562" width="20.25" style="43" customWidth="1"/>
    <col min="2563" max="2563" width="19.75" style="43" customWidth="1"/>
    <col min="2564" max="2567" width="14.25" style="43" customWidth="1"/>
    <col min="2568" max="2568" width="17" style="43" customWidth="1"/>
    <col min="2569" max="2816" width="14.25" style="43"/>
    <col min="2817" max="2817" width="11.5" style="43" customWidth="1"/>
    <col min="2818" max="2818" width="20.25" style="43" customWidth="1"/>
    <col min="2819" max="2819" width="19.75" style="43" customWidth="1"/>
    <col min="2820" max="2823" width="14.25" style="43" customWidth="1"/>
    <col min="2824" max="2824" width="17" style="43" customWidth="1"/>
    <col min="2825" max="3072" width="14.25" style="43"/>
    <col min="3073" max="3073" width="11.5" style="43" customWidth="1"/>
    <col min="3074" max="3074" width="20.25" style="43" customWidth="1"/>
    <col min="3075" max="3075" width="19.75" style="43" customWidth="1"/>
    <col min="3076" max="3079" width="14.25" style="43" customWidth="1"/>
    <col min="3080" max="3080" width="17" style="43" customWidth="1"/>
    <col min="3081" max="3328" width="14.25" style="43"/>
    <col min="3329" max="3329" width="11.5" style="43" customWidth="1"/>
    <col min="3330" max="3330" width="20.25" style="43" customWidth="1"/>
    <col min="3331" max="3331" width="19.75" style="43" customWidth="1"/>
    <col min="3332" max="3335" width="14.25" style="43" customWidth="1"/>
    <col min="3336" max="3336" width="17" style="43" customWidth="1"/>
    <col min="3337" max="3584" width="14.25" style="43"/>
    <col min="3585" max="3585" width="11.5" style="43" customWidth="1"/>
    <col min="3586" max="3586" width="20.25" style="43" customWidth="1"/>
    <col min="3587" max="3587" width="19.75" style="43" customWidth="1"/>
    <col min="3588" max="3591" width="14.25" style="43" customWidth="1"/>
    <col min="3592" max="3592" width="17" style="43" customWidth="1"/>
    <col min="3593" max="3840" width="14.25" style="43"/>
    <col min="3841" max="3841" width="11.5" style="43" customWidth="1"/>
    <col min="3842" max="3842" width="20.25" style="43" customWidth="1"/>
    <col min="3843" max="3843" width="19.75" style="43" customWidth="1"/>
    <col min="3844" max="3847" width="14.25" style="43" customWidth="1"/>
    <col min="3848" max="3848" width="17" style="43" customWidth="1"/>
    <col min="3849" max="4096" width="14.25" style="43"/>
    <col min="4097" max="4097" width="11.5" style="43" customWidth="1"/>
    <col min="4098" max="4098" width="20.25" style="43" customWidth="1"/>
    <col min="4099" max="4099" width="19.75" style="43" customWidth="1"/>
    <col min="4100" max="4103" width="14.25" style="43" customWidth="1"/>
    <col min="4104" max="4104" width="17" style="43" customWidth="1"/>
    <col min="4105" max="4352" width="14.25" style="43"/>
    <col min="4353" max="4353" width="11.5" style="43" customWidth="1"/>
    <col min="4354" max="4354" width="20.25" style="43" customWidth="1"/>
    <col min="4355" max="4355" width="19.75" style="43" customWidth="1"/>
    <col min="4356" max="4359" width="14.25" style="43" customWidth="1"/>
    <col min="4360" max="4360" width="17" style="43" customWidth="1"/>
    <col min="4361" max="4608" width="14.25" style="43"/>
    <col min="4609" max="4609" width="11.5" style="43" customWidth="1"/>
    <col min="4610" max="4610" width="20.25" style="43" customWidth="1"/>
    <col min="4611" max="4611" width="19.75" style="43" customWidth="1"/>
    <col min="4612" max="4615" width="14.25" style="43" customWidth="1"/>
    <col min="4616" max="4616" width="17" style="43" customWidth="1"/>
    <col min="4617" max="4864" width="14.25" style="43"/>
    <col min="4865" max="4865" width="11.5" style="43" customWidth="1"/>
    <col min="4866" max="4866" width="20.25" style="43" customWidth="1"/>
    <col min="4867" max="4867" width="19.75" style="43" customWidth="1"/>
    <col min="4868" max="4871" width="14.25" style="43" customWidth="1"/>
    <col min="4872" max="4872" width="17" style="43" customWidth="1"/>
    <col min="4873" max="5120" width="14.25" style="43"/>
    <col min="5121" max="5121" width="11.5" style="43" customWidth="1"/>
    <col min="5122" max="5122" width="20.25" style="43" customWidth="1"/>
    <col min="5123" max="5123" width="19.75" style="43" customWidth="1"/>
    <col min="5124" max="5127" width="14.25" style="43" customWidth="1"/>
    <col min="5128" max="5128" width="17" style="43" customWidth="1"/>
    <col min="5129" max="5376" width="14.25" style="43"/>
    <col min="5377" max="5377" width="11.5" style="43" customWidth="1"/>
    <col min="5378" max="5378" width="20.25" style="43" customWidth="1"/>
    <col min="5379" max="5379" width="19.75" style="43" customWidth="1"/>
    <col min="5380" max="5383" width="14.25" style="43" customWidth="1"/>
    <col min="5384" max="5384" width="17" style="43" customWidth="1"/>
    <col min="5385" max="5632" width="14.25" style="43"/>
    <col min="5633" max="5633" width="11.5" style="43" customWidth="1"/>
    <col min="5634" max="5634" width="20.25" style="43" customWidth="1"/>
    <col min="5635" max="5635" width="19.75" style="43" customWidth="1"/>
    <col min="5636" max="5639" width="14.25" style="43" customWidth="1"/>
    <col min="5640" max="5640" width="17" style="43" customWidth="1"/>
    <col min="5641" max="5888" width="14.25" style="43"/>
    <col min="5889" max="5889" width="11.5" style="43" customWidth="1"/>
    <col min="5890" max="5890" width="20.25" style="43" customWidth="1"/>
    <col min="5891" max="5891" width="19.75" style="43" customWidth="1"/>
    <col min="5892" max="5895" width="14.25" style="43" customWidth="1"/>
    <col min="5896" max="5896" width="17" style="43" customWidth="1"/>
    <col min="5897" max="6144" width="14.25" style="43"/>
    <col min="6145" max="6145" width="11.5" style="43" customWidth="1"/>
    <col min="6146" max="6146" width="20.25" style="43" customWidth="1"/>
    <col min="6147" max="6147" width="19.75" style="43" customWidth="1"/>
    <col min="6148" max="6151" width="14.25" style="43" customWidth="1"/>
    <col min="6152" max="6152" width="17" style="43" customWidth="1"/>
    <col min="6153" max="6400" width="14.25" style="43"/>
    <col min="6401" max="6401" width="11.5" style="43" customWidth="1"/>
    <col min="6402" max="6402" width="20.25" style="43" customWidth="1"/>
    <col min="6403" max="6403" width="19.75" style="43" customWidth="1"/>
    <col min="6404" max="6407" width="14.25" style="43" customWidth="1"/>
    <col min="6408" max="6408" width="17" style="43" customWidth="1"/>
    <col min="6409" max="6656" width="14.25" style="43"/>
    <col min="6657" max="6657" width="11.5" style="43" customWidth="1"/>
    <col min="6658" max="6658" width="20.25" style="43" customWidth="1"/>
    <col min="6659" max="6659" width="19.75" style="43" customWidth="1"/>
    <col min="6660" max="6663" width="14.25" style="43" customWidth="1"/>
    <col min="6664" max="6664" width="17" style="43" customWidth="1"/>
    <col min="6665" max="6912" width="14.25" style="43"/>
    <col min="6913" max="6913" width="11.5" style="43" customWidth="1"/>
    <col min="6914" max="6914" width="20.25" style="43" customWidth="1"/>
    <col min="6915" max="6915" width="19.75" style="43" customWidth="1"/>
    <col min="6916" max="6919" width="14.25" style="43" customWidth="1"/>
    <col min="6920" max="6920" width="17" style="43" customWidth="1"/>
    <col min="6921" max="7168" width="14.25" style="43"/>
    <col min="7169" max="7169" width="11.5" style="43" customWidth="1"/>
    <col min="7170" max="7170" width="20.25" style="43" customWidth="1"/>
    <col min="7171" max="7171" width="19.75" style="43" customWidth="1"/>
    <col min="7172" max="7175" width="14.25" style="43" customWidth="1"/>
    <col min="7176" max="7176" width="17" style="43" customWidth="1"/>
    <col min="7177" max="7424" width="14.25" style="43"/>
    <col min="7425" max="7425" width="11.5" style="43" customWidth="1"/>
    <col min="7426" max="7426" width="20.25" style="43" customWidth="1"/>
    <col min="7427" max="7427" width="19.75" style="43" customWidth="1"/>
    <col min="7428" max="7431" width="14.25" style="43" customWidth="1"/>
    <col min="7432" max="7432" width="17" style="43" customWidth="1"/>
    <col min="7433" max="7680" width="14.25" style="43"/>
    <col min="7681" max="7681" width="11.5" style="43" customWidth="1"/>
    <col min="7682" max="7682" width="20.25" style="43" customWidth="1"/>
    <col min="7683" max="7683" width="19.75" style="43" customWidth="1"/>
    <col min="7684" max="7687" width="14.25" style="43" customWidth="1"/>
    <col min="7688" max="7688" width="17" style="43" customWidth="1"/>
    <col min="7689" max="7936" width="14.25" style="43"/>
    <col min="7937" max="7937" width="11.5" style="43" customWidth="1"/>
    <col min="7938" max="7938" width="20.25" style="43" customWidth="1"/>
    <col min="7939" max="7939" width="19.75" style="43" customWidth="1"/>
    <col min="7940" max="7943" width="14.25" style="43" customWidth="1"/>
    <col min="7944" max="7944" width="17" style="43" customWidth="1"/>
    <col min="7945" max="8192" width="14.25" style="43"/>
    <col min="8193" max="8193" width="11.5" style="43" customWidth="1"/>
    <col min="8194" max="8194" width="20.25" style="43" customWidth="1"/>
    <col min="8195" max="8195" width="19.75" style="43" customWidth="1"/>
    <col min="8196" max="8199" width="14.25" style="43" customWidth="1"/>
    <col min="8200" max="8200" width="17" style="43" customWidth="1"/>
    <col min="8201" max="8448" width="14.25" style="43"/>
    <col min="8449" max="8449" width="11.5" style="43" customWidth="1"/>
    <col min="8450" max="8450" width="20.25" style="43" customWidth="1"/>
    <col min="8451" max="8451" width="19.75" style="43" customWidth="1"/>
    <col min="8452" max="8455" width="14.25" style="43" customWidth="1"/>
    <col min="8456" max="8456" width="17" style="43" customWidth="1"/>
    <col min="8457" max="8704" width="14.25" style="43"/>
    <col min="8705" max="8705" width="11.5" style="43" customWidth="1"/>
    <col min="8706" max="8706" width="20.25" style="43" customWidth="1"/>
    <col min="8707" max="8707" width="19.75" style="43" customWidth="1"/>
    <col min="8708" max="8711" width="14.25" style="43" customWidth="1"/>
    <col min="8712" max="8712" width="17" style="43" customWidth="1"/>
    <col min="8713" max="8960" width="14.25" style="43"/>
    <col min="8961" max="8961" width="11.5" style="43" customWidth="1"/>
    <col min="8962" max="8962" width="20.25" style="43" customWidth="1"/>
    <col min="8963" max="8963" width="19.75" style="43" customWidth="1"/>
    <col min="8964" max="8967" width="14.25" style="43" customWidth="1"/>
    <col min="8968" max="8968" width="17" style="43" customWidth="1"/>
    <col min="8969" max="9216" width="14.25" style="43"/>
    <col min="9217" max="9217" width="11.5" style="43" customWidth="1"/>
    <col min="9218" max="9218" width="20.25" style="43" customWidth="1"/>
    <col min="9219" max="9219" width="19.75" style="43" customWidth="1"/>
    <col min="9220" max="9223" width="14.25" style="43" customWidth="1"/>
    <col min="9224" max="9224" width="17" style="43" customWidth="1"/>
    <col min="9225" max="9472" width="14.25" style="43"/>
    <col min="9473" max="9473" width="11.5" style="43" customWidth="1"/>
    <col min="9474" max="9474" width="20.25" style="43" customWidth="1"/>
    <col min="9475" max="9475" width="19.75" style="43" customWidth="1"/>
    <col min="9476" max="9479" width="14.25" style="43" customWidth="1"/>
    <col min="9480" max="9480" width="17" style="43" customWidth="1"/>
    <col min="9481" max="9728" width="14.25" style="43"/>
    <col min="9729" max="9729" width="11.5" style="43" customWidth="1"/>
    <col min="9730" max="9730" width="20.25" style="43" customWidth="1"/>
    <col min="9731" max="9731" width="19.75" style="43" customWidth="1"/>
    <col min="9732" max="9735" width="14.25" style="43" customWidth="1"/>
    <col min="9736" max="9736" width="17" style="43" customWidth="1"/>
    <col min="9737" max="9984" width="14.25" style="43"/>
    <col min="9985" max="9985" width="11.5" style="43" customWidth="1"/>
    <col min="9986" max="9986" width="20.25" style="43" customWidth="1"/>
    <col min="9987" max="9987" width="19.75" style="43" customWidth="1"/>
    <col min="9988" max="9991" width="14.25" style="43" customWidth="1"/>
    <col min="9992" max="9992" width="17" style="43" customWidth="1"/>
    <col min="9993" max="10240" width="14.25" style="43"/>
    <col min="10241" max="10241" width="11.5" style="43" customWidth="1"/>
    <col min="10242" max="10242" width="20.25" style="43" customWidth="1"/>
    <col min="10243" max="10243" width="19.75" style="43" customWidth="1"/>
    <col min="10244" max="10247" width="14.25" style="43" customWidth="1"/>
    <col min="10248" max="10248" width="17" style="43" customWidth="1"/>
    <col min="10249" max="10496" width="14.25" style="43"/>
    <col min="10497" max="10497" width="11.5" style="43" customWidth="1"/>
    <col min="10498" max="10498" width="20.25" style="43" customWidth="1"/>
    <col min="10499" max="10499" width="19.75" style="43" customWidth="1"/>
    <col min="10500" max="10503" width="14.25" style="43" customWidth="1"/>
    <col min="10504" max="10504" width="17" style="43" customWidth="1"/>
    <col min="10505" max="10752" width="14.25" style="43"/>
    <col min="10753" max="10753" width="11.5" style="43" customWidth="1"/>
    <col min="10754" max="10754" width="20.25" style="43" customWidth="1"/>
    <col min="10755" max="10755" width="19.75" style="43" customWidth="1"/>
    <col min="10756" max="10759" width="14.25" style="43" customWidth="1"/>
    <col min="10760" max="10760" width="17" style="43" customWidth="1"/>
    <col min="10761" max="11008" width="14.25" style="43"/>
    <col min="11009" max="11009" width="11.5" style="43" customWidth="1"/>
    <col min="11010" max="11010" width="20.25" style="43" customWidth="1"/>
    <col min="11011" max="11011" width="19.75" style="43" customWidth="1"/>
    <col min="11012" max="11015" width="14.25" style="43" customWidth="1"/>
    <col min="11016" max="11016" width="17" style="43" customWidth="1"/>
    <col min="11017" max="11264" width="14.25" style="43"/>
    <col min="11265" max="11265" width="11.5" style="43" customWidth="1"/>
    <col min="11266" max="11266" width="20.25" style="43" customWidth="1"/>
    <col min="11267" max="11267" width="19.75" style="43" customWidth="1"/>
    <col min="11268" max="11271" width="14.25" style="43" customWidth="1"/>
    <col min="11272" max="11272" width="17" style="43" customWidth="1"/>
    <col min="11273" max="11520" width="14.25" style="43"/>
    <col min="11521" max="11521" width="11.5" style="43" customWidth="1"/>
    <col min="11522" max="11522" width="20.25" style="43" customWidth="1"/>
    <col min="11523" max="11523" width="19.75" style="43" customWidth="1"/>
    <col min="11524" max="11527" width="14.25" style="43" customWidth="1"/>
    <col min="11528" max="11528" width="17" style="43" customWidth="1"/>
    <col min="11529" max="11776" width="14.25" style="43"/>
    <col min="11777" max="11777" width="11.5" style="43" customWidth="1"/>
    <col min="11778" max="11778" width="20.25" style="43" customWidth="1"/>
    <col min="11779" max="11779" width="19.75" style="43" customWidth="1"/>
    <col min="11780" max="11783" width="14.25" style="43" customWidth="1"/>
    <col min="11784" max="11784" width="17" style="43" customWidth="1"/>
    <col min="11785" max="12032" width="14.25" style="43"/>
    <col min="12033" max="12033" width="11.5" style="43" customWidth="1"/>
    <col min="12034" max="12034" width="20.25" style="43" customWidth="1"/>
    <col min="12035" max="12035" width="19.75" style="43" customWidth="1"/>
    <col min="12036" max="12039" width="14.25" style="43" customWidth="1"/>
    <col min="12040" max="12040" width="17" style="43" customWidth="1"/>
    <col min="12041" max="12288" width="14.25" style="43"/>
    <col min="12289" max="12289" width="11.5" style="43" customWidth="1"/>
    <col min="12290" max="12290" width="20.25" style="43" customWidth="1"/>
    <col min="12291" max="12291" width="19.75" style="43" customWidth="1"/>
    <col min="12292" max="12295" width="14.25" style="43" customWidth="1"/>
    <col min="12296" max="12296" width="17" style="43" customWidth="1"/>
    <col min="12297" max="12544" width="14.25" style="43"/>
    <col min="12545" max="12545" width="11.5" style="43" customWidth="1"/>
    <col min="12546" max="12546" width="20.25" style="43" customWidth="1"/>
    <col min="12547" max="12547" width="19.75" style="43" customWidth="1"/>
    <col min="12548" max="12551" width="14.25" style="43" customWidth="1"/>
    <col min="12552" max="12552" width="17" style="43" customWidth="1"/>
    <col min="12553" max="12800" width="14.25" style="43"/>
    <col min="12801" max="12801" width="11.5" style="43" customWidth="1"/>
    <col min="12802" max="12802" width="20.25" style="43" customWidth="1"/>
    <col min="12803" max="12803" width="19.75" style="43" customWidth="1"/>
    <col min="12804" max="12807" width="14.25" style="43" customWidth="1"/>
    <col min="12808" max="12808" width="17" style="43" customWidth="1"/>
    <col min="12809" max="13056" width="14.25" style="43"/>
    <col min="13057" max="13057" width="11.5" style="43" customWidth="1"/>
    <col min="13058" max="13058" width="20.25" style="43" customWidth="1"/>
    <col min="13059" max="13059" width="19.75" style="43" customWidth="1"/>
    <col min="13060" max="13063" width="14.25" style="43" customWidth="1"/>
    <col min="13064" max="13064" width="17" style="43" customWidth="1"/>
    <col min="13065" max="13312" width="14.25" style="43"/>
    <col min="13313" max="13313" width="11.5" style="43" customWidth="1"/>
    <col min="13314" max="13314" width="20.25" style="43" customWidth="1"/>
    <col min="13315" max="13315" width="19.75" style="43" customWidth="1"/>
    <col min="13316" max="13319" width="14.25" style="43" customWidth="1"/>
    <col min="13320" max="13320" width="17" style="43" customWidth="1"/>
    <col min="13321" max="13568" width="14.25" style="43"/>
    <col min="13569" max="13569" width="11.5" style="43" customWidth="1"/>
    <col min="13570" max="13570" width="20.25" style="43" customWidth="1"/>
    <col min="13571" max="13571" width="19.75" style="43" customWidth="1"/>
    <col min="13572" max="13575" width="14.25" style="43" customWidth="1"/>
    <col min="13576" max="13576" width="17" style="43" customWidth="1"/>
    <col min="13577" max="13824" width="14.25" style="43"/>
    <col min="13825" max="13825" width="11.5" style="43" customWidth="1"/>
    <col min="13826" max="13826" width="20.25" style="43" customWidth="1"/>
    <col min="13827" max="13827" width="19.75" style="43" customWidth="1"/>
    <col min="13828" max="13831" width="14.25" style="43" customWidth="1"/>
    <col min="13832" max="13832" width="17" style="43" customWidth="1"/>
    <col min="13833" max="14080" width="14.25" style="43"/>
    <col min="14081" max="14081" width="11.5" style="43" customWidth="1"/>
    <col min="14082" max="14082" width="20.25" style="43" customWidth="1"/>
    <col min="14083" max="14083" width="19.75" style="43" customWidth="1"/>
    <col min="14084" max="14087" width="14.25" style="43" customWidth="1"/>
    <col min="14088" max="14088" width="17" style="43" customWidth="1"/>
    <col min="14089" max="14336" width="14.25" style="43"/>
    <col min="14337" max="14337" width="11.5" style="43" customWidth="1"/>
    <col min="14338" max="14338" width="20.25" style="43" customWidth="1"/>
    <col min="14339" max="14339" width="19.75" style="43" customWidth="1"/>
    <col min="14340" max="14343" width="14.25" style="43" customWidth="1"/>
    <col min="14344" max="14344" width="17" style="43" customWidth="1"/>
    <col min="14345" max="14592" width="14.25" style="43"/>
    <col min="14593" max="14593" width="11.5" style="43" customWidth="1"/>
    <col min="14594" max="14594" width="20.25" style="43" customWidth="1"/>
    <col min="14595" max="14595" width="19.75" style="43" customWidth="1"/>
    <col min="14596" max="14599" width="14.25" style="43" customWidth="1"/>
    <col min="14600" max="14600" width="17" style="43" customWidth="1"/>
    <col min="14601" max="14848" width="14.25" style="43"/>
    <col min="14849" max="14849" width="11.5" style="43" customWidth="1"/>
    <col min="14850" max="14850" width="20.25" style="43" customWidth="1"/>
    <col min="14851" max="14851" width="19.75" style="43" customWidth="1"/>
    <col min="14852" max="14855" width="14.25" style="43" customWidth="1"/>
    <col min="14856" max="14856" width="17" style="43" customWidth="1"/>
    <col min="14857" max="15104" width="14.25" style="43"/>
    <col min="15105" max="15105" width="11.5" style="43" customWidth="1"/>
    <col min="15106" max="15106" width="20.25" style="43" customWidth="1"/>
    <col min="15107" max="15107" width="19.75" style="43" customWidth="1"/>
    <col min="15108" max="15111" width="14.25" style="43" customWidth="1"/>
    <col min="15112" max="15112" width="17" style="43" customWidth="1"/>
    <col min="15113" max="15360" width="14.25" style="43"/>
    <col min="15361" max="15361" width="11.5" style="43" customWidth="1"/>
    <col min="15362" max="15362" width="20.25" style="43" customWidth="1"/>
    <col min="15363" max="15363" width="19.75" style="43" customWidth="1"/>
    <col min="15364" max="15367" width="14.25" style="43" customWidth="1"/>
    <col min="15368" max="15368" width="17" style="43" customWidth="1"/>
    <col min="15369" max="15616" width="14.25" style="43"/>
    <col min="15617" max="15617" width="11.5" style="43" customWidth="1"/>
    <col min="15618" max="15618" width="20.25" style="43" customWidth="1"/>
    <col min="15619" max="15619" width="19.75" style="43" customWidth="1"/>
    <col min="15620" max="15623" width="14.25" style="43" customWidth="1"/>
    <col min="15624" max="15624" width="17" style="43" customWidth="1"/>
    <col min="15625" max="15872" width="14.25" style="43"/>
    <col min="15873" max="15873" width="11.5" style="43" customWidth="1"/>
    <col min="15874" max="15874" width="20.25" style="43" customWidth="1"/>
    <col min="15875" max="15875" width="19.75" style="43" customWidth="1"/>
    <col min="15876" max="15879" width="14.25" style="43" customWidth="1"/>
    <col min="15880" max="15880" width="17" style="43" customWidth="1"/>
    <col min="15881" max="16128" width="14.25" style="43"/>
    <col min="16129" max="16129" width="11.5" style="43" customWidth="1"/>
    <col min="16130" max="16130" width="20.25" style="43" customWidth="1"/>
    <col min="16131" max="16131" width="19.75" style="43" customWidth="1"/>
    <col min="16132" max="16135" width="14.25" style="43" customWidth="1"/>
    <col min="16136" max="16136" width="17" style="43" customWidth="1"/>
    <col min="16137" max="16384" width="14.25" style="43"/>
  </cols>
  <sheetData>
    <row r="1" spans="1:8">
      <c r="A1" s="771" t="s">
        <v>264</v>
      </c>
      <c r="B1" s="772"/>
      <c r="C1" s="772"/>
      <c r="D1" s="772"/>
      <c r="E1" s="772"/>
      <c r="F1" s="772"/>
      <c r="G1" s="772"/>
      <c r="H1" s="772"/>
    </row>
    <row r="2" spans="1:8">
      <c r="A2" s="771" t="s">
        <v>277</v>
      </c>
      <c r="B2" s="772"/>
      <c r="C2" s="772"/>
      <c r="D2" s="772"/>
      <c r="E2" s="772"/>
      <c r="F2" s="772"/>
      <c r="G2" s="772"/>
      <c r="H2" s="772"/>
    </row>
    <row r="3" spans="1:8">
      <c r="A3" s="771" t="s">
        <v>1008</v>
      </c>
      <c r="B3" s="772"/>
      <c r="C3" s="772"/>
      <c r="D3" s="772"/>
      <c r="E3" s="772"/>
      <c r="F3" s="772"/>
      <c r="G3" s="772"/>
      <c r="H3" s="772"/>
    </row>
    <row r="4" spans="1:8">
      <c r="A4" s="47"/>
      <c r="B4" s="48"/>
      <c r="C4" s="48"/>
      <c r="D4" s="48"/>
      <c r="E4" s="48"/>
      <c r="F4" s="48"/>
      <c r="G4" s="48"/>
      <c r="H4" s="48"/>
    </row>
    <row r="5" spans="1:8">
      <c r="A5" s="773" t="s">
        <v>65</v>
      </c>
      <c r="B5" s="775" t="s">
        <v>50</v>
      </c>
      <c r="C5" s="775" t="s">
        <v>39</v>
      </c>
      <c r="D5" s="777" t="s">
        <v>66</v>
      </c>
      <c r="E5" s="777" t="s">
        <v>126</v>
      </c>
      <c r="F5" s="777" t="s">
        <v>84</v>
      </c>
      <c r="G5" s="777" t="s">
        <v>85</v>
      </c>
      <c r="H5" s="777" t="s">
        <v>35</v>
      </c>
    </row>
    <row r="6" spans="1:8" ht="53.25" customHeight="1">
      <c r="A6" s="774"/>
      <c r="B6" s="776"/>
      <c r="C6" s="776"/>
      <c r="D6" s="778"/>
      <c r="E6" s="778"/>
      <c r="F6" s="778"/>
      <c r="G6" s="778"/>
      <c r="H6" s="778"/>
    </row>
    <row r="7" spans="1:8">
      <c r="A7" s="50" t="s">
        <v>96</v>
      </c>
      <c r="B7" s="50"/>
      <c r="C7" s="50"/>
      <c r="D7" s="54"/>
      <c r="E7" s="54"/>
      <c r="F7" s="54"/>
      <c r="G7" s="54"/>
      <c r="H7" s="54"/>
    </row>
    <row r="8" spans="1:8">
      <c r="A8" s="52" t="s">
        <v>69</v>
      </c>
      <c r="B8" s="53" t="s">
        <v>268</v>
      </c>
      <c r="C8" s="53" t="s">
        <v>197</v>
      </c>
      <c r="D8" s="54"/>
      <c r="E8" s="54"/>
      <c r="F8" s="54"/>
      <c r="G8" s="54"/>
      <c r="H8" s="54">
        <f t="shared" ref="H8:H18" si="0">SUM(E8:G8)</f>
        <v>0</v>
      </c>
    </row>
    <row r="9" spans="1:8">
      <c r="A9" s="52"/>
      <c r="B9" s="53" t="s">
        <v>269</v>
      </c>
      <c r="C9" s="53" t="s">
        <v>197</v>
      </c>
      <c r="D9" s="54">
        <f>'Sheet3 (โอน)'!D53+'Sheet3 (โอน)'!D60</f>
        <v>2484460</v>
      </c>
      <c r="E9" s="54">
        <f>'Sheet3 (โอน)'!E53</f>
        <v>391440</v>
      </c>
      <c r="F9" s="54">
        <f>'Sheet3 (โอน)'!E60</f>
        <v>2019000</v>
      </c>
      <c r="G9" s="54"/>
      <c r="H9" s="54">
        <f t="shared" si="0"/>
        <v>2410440</v>
      </c>
    </row>
    <row r="10" spans="1:8">
      <c r="A10" s="52" t="s">
        <v>70</v>
      </c>
      <c r="B10" s="53" t="s">
        <v>270</v>
      </c>
      <c r="C10" s="53" t="s">
        <v>197</v>
      </c>
      <c r="D10" s="54">
        <f>'Sheet3 (โอน)'!D107+'Sheet3 (โอน)'!D111</f>
        <v>171310</v>
      </c>
      <c r="E10" s="54">
        <f>'Sheet3 (โอน)'!E107</f>
        <v>2400</v>
      </c>
      <c r="F10" s="54">
        <f>'Sheet3 (โอน)'!E111</f>
        <v>29800</v>
      </c>
      <c r="G10" s="54"/>
      <c r="H10" s="54">
        <f t="shared" si="0"/>
        <v>32200</v>
      </c>
    </row>
    <row r="11" spans="1:8">
      <c r="A11" s="52"/>
      <c r="B11" s="53" t="s">
        <v>271</v>
      </c>
      <c r="C11" s="53" t="s">
        <v>197</v>
      </c>
      <c r="D11" s="54">
        <f>'Sheet3 (โอน)'!D172+'Sheet3 (โอน)'!D180+'Sheet3 (โอน)'!D183</f>
        <v>1076245</v>
      </c>
      <c r="E11" s="54">
        <f>'Sheet3 (โอน)'!E172</f>
        <v>42812</v>
      </c>
      <c r="F11" s="54">
        <f>'Sheet3 (โอน)'!E180</f>
        <v>826654</v>
      </c>
      <c r="G11" s="54"/>
      <c r="H11" s="54">
        <f t="shared" si="0"/>
        <v>869466</v>
      </c>
    </row>
    <row r="12" spans="1:8">
      <c r="A12" s="52"/>
      <c r="B12" s="53" t="s">
        <v>272</v>
      </c>
      <c r="C12" s="53" t="s">
        <v>197</v>
      </c>
      <c r="D12" s="54">
        <f>'Sheet3 (โอน)'!D283+'Sheet3 (โอน)'!D286</f>
        <v>989683</v>
      </c>
      <c r="E12" s="54">
        <f>'Sheet3 (โอน)'!E283</f>
        <v>28851</v>
      </c>
      <c r="F12" s="54">
        <f>'Sheet3 (โอน)'!E286</f>
        <v>795697.52</v>
      </c>
      <c r="G12" s="54">
        <v>0</v>
      </c>
      <c r="H12" s="54">
        <f t="shared" si="0"/>
        <v>824548.52</v>
      </c>
    </row>
    <row r="13" spans="1:8">
      <c r="A13" s="52"/>
      <c r="B13" s="53" t="s">
        <v>74</v>
      </c>
      <c r="C13" s="53" t="s">
        <v>197</v>
      </c>
      <c r="D13" s="54">
        <f>'Sheet3 (โอน)'!D312</f>
        <v>60000</v>
      </c>
      <c r="E13" s="54"/>
      <c r="F13" s="54">
        <f>'Sheet3 (โอน)'!E312</f>
        <v>23383.39</v>
      </c>
      <c r="G13" s="54"/>
      <c r="H13" s="54">
        <f>SUM(E13:G13)</f>
        <v>23383.39</v>
      </c>
    </row>
    <row r="14" spans="1:8">
      <c r="A14" s="52" t="s">
        <v>75</v>
      </c>
      <c r="B14" s="53" t="s">
        <v>273</v>
      </c>
      <c r="C14" s="53" t="s">
        <v>197</v>
      </c>
      <c r="D14" s="54">
        <f>'Sheet3 (โอน)'!D357+'Sheet3 (โอน)'!D361</f>
        <v>38500</v>
      </c>
      <c r="E14" s="54">
        <f>'Sheet3 (โอน)'!E357</f>
        <v>6500</v>
      </c>
      <c r="F14" s="54">
        <f>'Sheet3 (โอน)'!E361</f>
        <v>32000</v>
      </c>
      <c r="G14" s="54"/>
      <c r="H14" s="54">
        <f>SUM(E14:G14)</f>
        <v>38500</v>
      </c>
    </row>
    <row r="15" spans="1:8">
      <c r="A15" s="52"/>
      <c r="B15" s="53"/>
      <c r="C15" s="53" t="s">
        <v>621</v>
      </c>
      <c r="D15" s="54">
        <f>'Sheet3 (โอน)'!D358+'Sheet3 (โอน)'!D362+'Sheet3 (โอน)'!D390</f>
        <v>0</v>
      </c>
      <c r="E15" s="54">
        <f>'Sheet3 (โอน)'!E358</f>
        <v>0</v>
      </c>
      <c r="F15" s="54">
        <f>'Sheet3 (โอน)'!E389</f>
        <v>29900</v>
      </c>
      <c r="G15" s="54"/>
      <c r="H15" s="54">
        <f>SUM(E15:G15)</f>
        <v>29900</v>
      </c>
    </row>
    <row r="16" spans="1:8">
      <c r="A16" s="52"/>
      <c r="B16" s="53" t="s">
        <v>274</v>
      </c>
      <c r="C16" s="53" t="s">
        <v>197</v>
      </c>
      <c r="D16" s="54">
        <f>'Sheet3 (โอน)'!D423</f>
        <v>153600</v>
      </c>
      <c r="E16" s="58"/>
      <c r="F16" s="54">
        <f>'Sheet3 (โอน)'!E423</f>
        <v>153600</v>
      </c>
      <c r="G16" s="54"/>
      <c r="H16" s="54">
        <f t="shared" si="0"/>
        <v>153600</v>
      </c>
    </row>
    <row r="17" spans="1:9">
      <c r="A17" s="52" t="s">
        <v>78</v>
      </c>
      <c r="B17" s="53" t="s">
        <v>79</v>
      </c>
      <c r="C17" s="53" t="s">
        <v>197</v>
      </c>
      <c r="D17" s="54"/>
      <c r="E17" s="54"/>
      <c r="F17" s="58"/>
      <c r="G17" s="54"/>
      <c r="H17" s="54">
        <f t="shared" si="0"/>
        <v>0</v>
      </c>
    </row>
    <row r="18" spans="1:9">
      <c r="A18" s="52" t="s">
        <v>80</v>
      </c>
      <c r="B18" s="53" t="s">
        <v>275</v>
      </c>
      <c r="C18" s="53" t="s">
        <v>197</v>
      </c>
      <c r="D18" s="54">
        <f>'Sheet3 (โอน)'!D327</f>
        <v>1568000</v>
      </c>
      <c r="E18" s="54"/>
      <c r="F18" s="54">
        <f>'Sheet3 (โอน)'!E327</f>
        <v>1466000</v>
      </c>
      <c r="G18" s="54">
        <v>0</v>
      </c>
      <c r="H18" s="54">
        <f t="shared" si="0"/>
        <v>1466000</v>
      </c>
    </row>
    <row r="19" spans="1:9">
      <c r="A19" s="768" t="s">
        <v>35</v>
      </c>
      <c r="B19" s="769"/>
      <c r="C19" s="770"/>
      <c r="D19" s="55">
        <f>SUM(D8:D18)</f>
        <v>6541798</v>
      </c>
      <c r="E19" s="55">
        <f>SUM(E8:E18)</f>
        <v>472003</v>
      </c>
      <c r="F19" s="55">
        <f>SUM(F8:F18)</f>
        <v>5376034.9100000001</v>
      </c>
      <c r="G19" s="55">
        <f>SUM(G8:G18)</f>
        <v>0</v>
      </c>
      <c r="H19" s="55">
        <f>SUM(H8:H18)</f>
        <v>5848037.9100000001</v>
      </c>
    </row>
    <row r="21" spans="1:9" s="293" customFormat="1" ht="21">
      <c r="A21" s="293" t="s">
        <v>64</v>
      </c>
      <c r="D21" s="321"/>
      <c r="E21" s="321"/>
      <c r="F21" s="321"/>
      <c r="G21" s="321"/>
      <c r="H21" s="321"/>
      <c r="I21" s="321"/>
    </row>
  </sheetData>
  <mergeCells count="12">
    <mergeCell ref="H5:H6"/>
    <mergeCell ref="A19:C19"/>
    <mergeCell ref="A1:H1"/>
    <mergeCell ref="A2:H2"/>
    <mergeCell ref="A3:H3"/>
    <mergeCell ref="A5:A6"/>
    <mergeCell ref="B5:B6"/>
    <mergeCell ref="C5:C6"/>
    <mergeCell ref="D5:D6"/>
    <mergeCell ref="E5:E6"/>
    <mergeCell ref="F5:F6"/>
    <mergeCell ref="G5:G6"/>
  </mergeCells>
  <pageMargins left="0.59" right="0.2" top="0.34" bottom="0.22" header="0.31496062992125984" footer="0.22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J14" sqref="J14"/>
    </sheetView>
  </sheetViews>
  <sheetFormatPr defaultColWidth="15" defaultRowHeight="24.75"/>
  <cols>
    <col min="1" max="1" width="17.125" style="43" customWidth="1"/>
    <col min="2" max="2" width="20.875" style="43" customWidth="1"/>
    <col min="3" max="3" width="15" style="43" customWidth="1"/>
    <col min="4" max="7" width="15" style="56" customWidth="1"/>
    <col min="8" max="8" width="17" style="56" customWidth="1"/>
    <col min="9" max="256" width="15" style="43"/>
    <col min="257" max="257" width="12.875" style="43" customWidth="1"/>
    <col min="258" max="258" width="18.875" style="43" customWidth="1"/>
    <col min="259" max="263" width="15" style="43" customWidth="1"/>
    <col min="264" max="264" width="17" style="43" customWidth="1"/>
    <col min="265" max="512" width="15" style="43"/>
    <col min="513" max="513" width="12.875" style="43" customWidth="1"/>
    <col min="514" max="514" width="18.875" style="43" customWidth="1"/>
    <col min="515" max="519" width="15" style="43" customWidth="1"/>
    <col min="520" max="520" width="17" style="43" customWidth="1"/>
    <col min="521" max="768" width="15" style="43"/>
    <col min="769" max="769" width="12.875" style="43" customWidth="1"/>
    <col min="770" max="770" width="18.875" style="43" customWidth="1"/>
    <col min="771" max="775" width="15" style="43" customWidth="1"/>
    <col min="776" max="776" width="17" style="43" customWidth="1"/>
    <col min="777" max="1024" width="15" style="43"/>
    <col min="1025" max="1025" width="12.875" style="43" customWidth="1"/>
    <col min="1026" max="1026" width="18.875" style="43" customWidth="1"/>
    <col min="1027" max="1031" width="15" style="43" customWidth="1"/>
    <col min="1032" max="1032" width="17" style="43" customWidth="1"/>
    <col min="1033" max="1280" width="15" style="43"/>
    <col min="1281" max="1281" width="12.875" style="43" customWidth="1"/>
    <col min="1282" max="1282" width="18.875" style="43" customWidth="1"/>
    <col min="1283" max="1287" width="15" style="43" customWidth="1"/>
    <col min="1288" max="1288" width="17" style="43" customWidth="1"/>
    <col min="1289" max="1536" width="15" style="43"/>
    <col min="1537" max="1537" width="12.875" style="43" customWidth="1"/>
    <col min="1538" max="1538" width="18.875" style="43" customWidth="1"/>
    <col min="1539" max="1543" width="15" style="43" customWidth="1"/>
    <col min="1544" max="1544" width="17" style="43" customWidth="1"/>
    <col min="1545" max="1792" width="15" style="43"/>
    <col min="1793" max="1793" width="12.875" style="43" customWidth="1"/>
    <col min="1794" max="1794" width="18.875" style="43" customWidth="1"/>
    <col min="1795" max="1799" width="15" style="43" customWidth="1"/>
    <col min="1800" max="1800" width="17" style="43" customWidth="1"/>
    <col min="1801" max="2048" width="15" style="43"/>
    <col min="2049" max="2049" width="12.875" style="43" customWidth="1"/>
    <col min="2050" max="2050" width="18.875" style="43" customWidth="1"/>
    <col min="2051" max="2055" width="15" style="43" customWidth="1"/>
    <col min="2056" max="2056" width="17" style="43" customWidth="1"/>
    <col min="2057" max="2304" width="15" style="43"/>
    <col min="2305" max="2305" width="12.875" style="43" customWidth="1"/>
    <col min="2306" max="2306" width="18.875" style="43" customWidth="1"/>
    <col min="2307" max="2311" width="15" style="43" customWidth="1"/>
    <col min="2312" max="2312" width="17" style="43" customWidth="1"/>
    <col min="2313" max="2560" width="15" style="43"/>
    <col min="2561" max="2561" width="12.875" style="43" customWidth="1"/>
    <col min="2562" max="2562" width="18.875" style="43" customWidth="1"/>
    <col min="2563" max="2567" width="15" style="43" customWidth="1"/>
    <col min="2568" max="2568" width="17" style="43" customWidth="1"/>
    <col min="2569" max="2816" width="15" style="43"/>
    <col min="2817" max="2817" width="12.875" style="43" customWidth="1"/>
    <col min="2818" max="2818" width="18.875" style="43" customWidth="1"/>
    <col min="2819" max="2823" width="15" style="43" customWidth="1"/>
    <col min="2824" max="2824" width="17" style="43" customWidth="1"/>
    <col min="2825" max="3072" width="15" style="43"/>
    <col min="3073" max="3073" width="12.875" style="43" customWidth="1"/>
    <col min="3074" max="3074" width="18.875" style="43" customWidth="1"/>
    <col min="3075" max="3079" width="15" style="43" customWidth="1"/>
    <col min="3080" max="3080" width="17" style="43" customWidth="1"/>
    <col min="3081" max="3328" width="15" style="43"/>
    <col min="3329" max="3329" width="12.875" style="43" customWidth="1"/>
    <col min="3330" max="3330" width="18.875" style="43" customWidth="1"/>
    <col min="3331" max="3335" width="15" style="43" customWidth="1"/>
    <col min="3336" max="3336" width="17" style="43" customWidth="1"/>
    <col min="3337" max="3584" width="15" style="43"/>
    <col min="3585" max="3585" width="12.875" style="43" customWidth="1"/>
    <col min="3586" max="3586" width="18.875" style="43" customWidth="1"/>
    <col min="3587" max="3591" width="15" style="43" customWidth="1"/>
    <col min="3592" max="3592" width="17" style="43" customWidth="1"/>
    <col min="3593" max="3840" width="15" style="43"/>
    <col min="3841" max="3841" width="12.875" style="43" customWidth="1"/>
    <col min="3842" max="3842" width="18.875" style="43" customWidth="1"/>
    <col min="3843" max="3847" width="15" style="43" customWidth="1"/>
    <col min="3848" max="3848" width="17" style="43" customWidth="1"/>
    <col min="3849" max="4096" width="15" style="43"/>
    <col min="4097" max="4097" width="12.875" style="43" customWidth="1"/>
    <col min="4098" max="4098" width="18.875" style="43" customWidth="1"/>
    <col min="4099" max="4103" width="15" style="43" customWidth="1"/>
    <col min="4104" max="4104" width="17" style="43" customWidth="1"/>
    <col min="4105" max="4352" width="15" style="43"/>
    <col min="4353" max="4353" width="12.875" style="43" customWidth="1"/>
    <col min="4354" max="4354" width="18.875" style="43" customWidth="1"/>
    <col min="4355" max="4359" width="15" style="43" customWidth="1"/>
    <col min="4360" max="4360" width="17" style="43" customWidth="1"/>
    <col min="4361" max="4608" width="15" style="43"/>
    <col min="4609" max="4609" width="12.875" style="43" customWidth="1"/>
    <col min="4610" max="4610" width="18.875" style="43" customWidth="1"/>
    <col min="4611" max="4615" width="15" style="43" customWidth="1"/>
    <col min="4616" max="4616" width="17" style="43" customWidth="1"/>
    <col min="4617" max="4864" width="15" style="43"/>
    <col min="4865" max="4865" width="12.875" style="43" customWidth="1"/>
    <col min="4866" max="4866" width="18.875" style="43" customWidth="1"/>
    <col min="4867" max="4871" width="15" style="43" customWidth="1"/>
    <col min="4872" max="4872" width="17" style="43" customWidth="1"/>
    <col min="4873" max="5120" width="15" style="43"/>
    <col min="5121" max="5121" width="12.875" style="43" customWidth="1"/>
    <col min="5122" max="5122" width="18.875" style="43" customWidth="1"/>
    <col min="5123" max="5127" width="15" style="43" customWidth="1"/>
    <col min="5128" max="5128" width="17" style="43" customWidth="1"/>
    <col min="5129" max="5376" width="15" style="43"/>
    <col min="5377" max="5377" width="12.875" style="43" customWidth="1"/>
    <col min="5378" max="5378" width="18.875" style="43" customWidth="1"/>
    <col min="5379" max="5383" width="15" style="43" customWidth="1"/>
    <col min="5384" max="5384" width="17" style="43" customWidth="1"/>
    <col min="5385" max="5632" width="15" style="43"/>
    <col min="5633" max="5633" width="12.875" style="43" customWidth="1"/>
    <col min="5634" max="5634" width="18.875" style="43" customWidth="1"/>
    <col min="5635" max="5639" width="15" style="43" customWidth="1"/>
    <col min="5640" max="5640" width="17" style="43" customWidth="1"/>
    <col min="5641" max="5888" width="15" style="43"/>
    <col min="5889" max="5889" width="12.875" style="43" customWidth="1"/>
    <col min="5890" max="5890" width="18.875" style="43" customWidth="1"/>
    <col min="5891" max="5895" width="15" style="43" customWidth="1"/>
    <col min="5896" max="5896" width="17" style="43" customWidth="1"/>
    <col min="5897" max="6144" width="15" style="43"/>
    <col min="6145" max="6145" width="12.875" style="43" customWidth="1"/>
    <col min="6146" max="6146" width="18.875" style="43" customWidth="1"/>
    <col min="6147" max="6151" width="15" style="43" customWidth="1"/>
    <col min="6152" max="6152" width="17" style="43" customWidth="1"/>
    <col min="6153" max="6400" width="15" style="43"/>
    <col min="6401" max="6401" width="12.875" style="43" customWidth="1"/>
    <col min="6402" max="6402" width="18.875" style="43" customWidth="1"/>
    <col min="6403" max="6407" width="15" style="43" customWidth="1"/>
    <col min="6408" max="6408" width="17" style="43" customWidth="1"/>
    <col min="6409" max="6656" width="15" style="43"/>
    <col min="6657" max="6657" width="12.875" style="43" customWidth="1"/>
    <col min="6658" max="6658" width="18.875" style="43" customWidth="1"/>
    <col min="6659" max="6663" width="15" style="43" customWidth="1"/>
    <col min="6664" max="6664" width="17" style="43" customWidth="1"/>
    <col min="6665" max="6912" width="15" style="43"/>
    <col min="6913" max="6913" width="12.875" style="43" customWidth="1"/>
    <col min="6914" max="6914" width="18.875" style="43" customWidth="1"/>
    <col min="6915" max="6919" width="15" style="43" customWidth="1"/>
    <col min="6920" max="6920" width="17" style="43" customWidth="1"/>
    <col min="6921" max="7168" width="15" style="43"/>
    <col min="7169" max="7169" width="12.875" style="43" customWidth="1"/>
    <col min="7170" max="7170" width="18.875" style="43" customWidth="1"/>
    <col min="7171" max="7175" width="15" style="43" customWidth="1"/>
    <col min="7176" max="7176" width="17" style="43" customWidth="1"/>
    <col min="7177" max="7424" width="15" style="43"/>
    <col min="7425" max="7425" width="12.875" style="43" customWidth="1"/>
    <col min="7426" max="7426" width="18.875" style="43" customWidth="1"/>
    <col min="7427" max="7431" width="15" style="43" customWidth="1"/>
    <col min="7432" max="7432" width="17" style="43" customWidth="1"/>
    <col min="7433" max="7680" width="15" style="43"/>
    <col min="7681" max="7681" width="12.875" style="43" customWidth="1"/>
    <col min="7682" max="7682" width="18.875" style="43" customWidth="1"/>
    <col min="7683" max="7687" width="15" style="43" customWidth="1"/>
    <col min="7688" max="7688" width="17" style="43" customWidth="1"/>
    <col min="7689" max="7936" width="15" style="43"/>
    <col min="7937" max="7937" width="12.875" style="43" customWidth="1"/>
    <col min="7938" max="7938" width="18.875" style="43" customWidth="1"/>
    <col min="7939" max="7943" width="15" style="43" customWidth="1"/>
    <col min="7944" max="7944" width="17" style="43" customWidth="1"/>
    <col min="7945" max="8192" width="15" style="43"/>
    <col min="8193" max="8193" width="12.875" style="43" customWidth="1"/>
    <col min="8194" max="8194" width="18.875" style="43" customWidth="1"/>
    <col min="8195" max="8199" width="15" style="43" customWidth="1"/>
    <col min="8200" max="8200" width="17" style="43" customWidth="1"/>
    <col min="8201" max="8448" width="15" style="43"/>
    <col min="8449" max="8449" width="12.875" style="43" customWidth="1"/>
    <col min="8450" max="8450" width="18.875" style="43" customWidth="1"/>
    <col min="8451" max="8455" width="15" style="43" customWidth="1"/>
    <col min="8456" max="8456" width="17" style="43" customWidth="1"/>
    <col min="8457" max="8704" width="15" style="43"/>
    <col min="8705" max="8705" width="12.875" style="43" customWidth="1"/>
    <col min="8706" max="8706" width="18.875" style="43" customWidth="1"/>
    <col min="8707" max="8711" width="15" style="43" customWidth="1"/>
    <col min="8712" max="8712" width="17" style="43" customWidth="1"/>
    <col min="8713" max="8960" width="15" style="43"/>
    <col min="8961" max="8961" width="12.875" style="43" customWidth="1"/>
    <col min="8962" max="8962" width="18.875" style="43" customWidth="1"/>
    <col min="8963" max="8967" width="15" style="43" customWidth="1"/>
    <col min="8968" max="8968" width="17" style="43" customWidth="1"/>
    <col min="8969" max="9216" width="15" style="43"/>
    <col min="9217" max="9217" width="12.875" style="43" customWidth="1"/>
    <col min="9218" max="9218" width="18.875" style="43" customWidth="1"/>
    <col min="9219" max="9223" width="15" style="43" customWidth="1"/>
    <col min="9224" max="9224" width="17" style="43" customWidth="1"/>
    <col min="9225" max="9472" width="15" style="43"/>
    <col min="9473" max="9473" width="12.875" style="43" customWidth="1"/>
    <col min="9474" max="9474" width="18.875" style="43" customWidth="1"/>
    <col min="9475" max="9479" width="15" style="43" customWidth="1"/>
    <col min="9480" max="9480" width="17" style="43" customWidth="1"/>
    <col min="9481" max="9728" width="15" style="43"/>
    <col min="9729" max="9729" width="12.875" style="43" customWidth="1"/>
    <col min="9730" max="9730" width="18.875" style="43" customWidth="1"/>
    <col min="9731" max="9735" width="15" style="43" customWidth="1"/>
    <col min="9736" max="9736" width="17" style="43" customWidth="1"/>
    <col min="9737" max="9984" width="15" style="43"/>
    <col min="9985" max="9985" width="12.875" style="43" customWidth="1"/>
    <col min="9986" max="9986" width="18.875" style="43" customWidth="1"/>
    <col min="9987" max="9991" width="15" style="43" customWidth="1"/>
    <col min="9992" max="9992" width="17" style="43" customWidth="1"/>
    <col min="9993" max="10240" width="15" style="43"/>
    <col min="10241" max="10241" width="12.875" style="43" customWidth="1"/>
    <col min="10242" max="10242" width="18.875" style="43" customWidth="1"/>
    <col min="10243" max="10247" width="15" style="43" customWidth="1"/>
    <col min="10248" max="10248" width="17" style="43" customWidth="1"/>
    <col min="10249" max="10496" width="15" style="43"/>
    <col min="10497" max="10497" width="12.875" style="43" customWidth="1"/>
    <col min="10498" max="10498" width="18.875" style="43" customWidth="1"/>
    <col min="10499" max="10503" width="15" style="43" customWidth="1"/>
    <col min="10504" max="10504" width="17" style="43" customWidth="1"/>
    <col min="10505" max="10752" width="15" style="43"/>
    <col min="10753" max="10753" width="12.875" style="43" customWidth="1"/>
    <col min="10754" max="10754" width="18.875" style="43" customWidth="1"/>
    <col min="10755" max="10759" width="15" style="43" customWidth="1"/>
    <col min="10760" max="10760" width="17" style="43" customWidth="1"/>
    <col min="10761" max="11008" width="15" style="43"/>
    <col min="11009" max="11009" width="12.875" style="43" customWidth="1"/>
    <col min="11010" max="11010" width="18.875" style="43" customWidth="1"/>
    <col min="11011" max="11015" width="15" style="43" customWidth="1"/>
    <col min="11016" max="11016" width="17" style="43" customWidth="1"/>
    <col min="11017" max="11264" width="15" style="43"/>
    <col min="11265" max="11265" width="12.875" style="43" customWidth="1"/>
    <col min="11266" max="11266" width="18.875" style="43" customWidth="1"/>
    <col min="11267" max="11271" width="15" style="43" customWidth="1"/>
    <col min="11272" max="11272" width="17" style="43" customWidth="1"/>
    <col min="11273" max="11520" width="15" style="43"/>
    <col min="11521" max="11521" width="12.875" style="43" customWidth="1"/>
    <col min="11522" max="11522" width="18.875" style="43" customWidth="1"/>
    <col min="11523" max="11527" width="15" style="43" customWidth="1"/>
    <col min="11528" max="11528" width="17" style="43" customWidth="1"/>
    <col min="11529" max="11776" width="15" style="43"/>
    <col min="11777" max="11777" width="12.875" style="43" customWidth="1"/>
    <col min="11778" max="11778" width="18.875" style="43" customWidth="1"/>
    <col min="11779" max="11783" width="15" style="43" customWidth="1"/>
    <col min="11784" max="11784" width="17" style="43" customWidth="1"/>
    <col min="11785" max="12032" width="15" style="43"/>
    <col min="12033" max="12033" width="12.875" style="43" customWidth="1"/>
    <col min="12034" max="12034" width="18.875" style="43" customWidth="1"/>
    <col min="12035" max="12039" width="15" style="43" customWidth="1"/>
    <col min="12040" max="12040" width="17" style="43" customWidth="1"/>
    <col min="12041" max="12288" width="15" style="43"/>
    <col min="12289" max="12289" width="12.875" style="43" customWidth="1"/>
    <col min="12290" max="12290" width="18.875" style="43" customWidth="1"/>
    <col min="12291" max="12295" width="15" style="43" customWidth="1"/>
    <col min="12296" max="12296" width="17" style="43" customWidth="1"/>
    <col min="12297" max="12544" width="15" style="43"/>
    <col min="12545" max="12545" width="12.875" style="43" customWidth="1"/>
    <col min="12546" max="12546" width="18.875" style="43" customWidth="1"/>
    <col min="12547" max="12551" width="15" style="43" customWidth="1"/>
    <col min="12552" max="12552" width="17" style="43" customWidth="1"/>
    <col min="12553" max="12800" width="15" style="43"/>
    <col min="12801" max="12801" width="12.875" style="43" customWidth="1"/>
    <col min="12802" max="12802" width="18.875" style="43" customWidth="1"/>
    <col min="12803" max="12807" width="15" style="43" customWidth="1"/>
    <col min="12808" max="12808" width="17" style="43" customWidth="1"/>
    <col min="12809" max="13056" width="15" style="43"/>
    <col min="13057" max="13057" width="12.875" style="43" customWidth="1"/>
    <col min="13058" max="13058" width="18.875" style="43" customWidth="1"/>
    <col min="13059" max="13063" width="15" style="43" customWidth="1"/>
    <col min="13064" max="13064" width="17" style="43" customWidth="1"/>
    <col min="13065" max="13312" width="15" style="43"/>
    <col min="13313" max="13313" width="12.875" style="43" customWidth="1"/>
    <col min="13314" max="13314" width="18.875" style="43" customWidth="1"/>
    <col min="13315" max="13319" width="15" style="43" customWidth="1"/>
    <col min="13320" max="13320" width="17" style="43" customWidth="1"/>
    <col min="13321" max="13568" width="15" style="43"/>
    <col min="13569" max="13569" width="12.875" style="43" customWidth="1"/>
    <col min="13570" max="13570" width="18.875" style="43" customWidth="1"/>
    <col min="13571" max="13575" width="15" style="43" customWidth="1"/>
    <col min="13576" max="13576" width="17" style="43" customWidth="1"/>
    <col min="13577" max="13824" width="15" style="43"/>
    <col min="13825" max="13825" width="12.875" style="43" customWidth="1"/>
    <col min="13826" max="13826" width="18.875" style="43" customWidth="1"/>
    <col min="13827" max="13831" width="15" style="43" customWidth="1"/>
    <col min="13832" max="13832" width="17" style="43" customWidth="1"/>
    <col min="13833" max="14080" width="15" style="43"/>
    <col min="14081" max="14081" width="12.875" style="43" customWidth="1"/>
    <col min="14082" max="14082" width="18.875" style="43" customWidth="1"/>
    <col min="14083" max="14087" width="15" style="43" customWidth="1"/>
    <col min="14088" max="14088" width="17" style="43" customWidth="1"/>
    <col min="14089" max="14336" width="15" style="43"/>
    <col min="14337" max="14337" width="12.875" style="43" customWidth="1"/>
    <col min="14338" max="14338" width="18.875" style="43" customWidth="1"/>
    <col min="14339" max="14343" width="15" style="43" customWidth="1"/>
    <col min="14344" max="14344" width="17" style="43" customWidth="1"/>
    <col min="14345" max="14592" width="15" style="43"/>
    <col min="14593" max="14593" width="12.875" style="43" customWidth="1"/>
    <col min="14594" max="14594" width="18.875" style="43" customWidth="1"/>
    <col min="14595" max="14599" width="15" style="43" customWidth="1"/>
    <col min="14600" max="14600" width="17" style="43" customWidth="1"/>
    <col min="14601" max="14848" width="15" style="43"/>
    <col min="14849" max="14849" width="12.875" style="43" customWidth="1"/>
    <col min="14850" max="14850" width="18.875" style="43" customWidth="1"/>
    <col min="14851" max="14855" width="15" style="43" customWidth="1"/>
    <col min="14856" max="14856" width="17" style="43" customWidth="1"/>
    <col min="14857" max="15104" width="15" style="43"/>
    <col min="15105" max="15105" width="12.875" style="43" customWidth="1"/>
    <col min="15106" max="15106" width="18.875" style="43" customWidth="1"/>
    <col min="15107" max="15111" width="15" style="43" customWidth="1"/>
    <col min="15112" max="15112" width="17" style="43" customWidth="1"/>
    <col min="15113" max="15360" width="15" style="43"/>
    <col min="15361" max="15361" width="12.875" style="43" customWidth="1"/>
    <col min="15362" max="15362" width="18.875" style="43" customWidth="1"/>
    <col min="15363" max="15367" width="15" style="43" customWidth="1"/>
    <col min="15368" max="15368" width="17" style="43" customWidth="1"/>
    <col min="15369" max="15616" width="15" style="43"/>
    <col min="15617" max="15617" width="12.875" style="43" customWidth="1"/>
    <col min="15618" max="15618" width="18.875" style="43" customWidth="1"/>
    <col min="15619" max="15623" width="15" style="43" customWidth="1"/>
    <col min="15624" max="15624" width="17" style="43" customWidth="1"/>
    <col min="15625" max="15872" width="15" style="43"/>
    <col min="15873" max="15873" width="12.875" style="43" customWidth="1"/>
    <col min="15874" max="15874" width="18.875" style="43" customWidth="1"/>
    <col min="15875" max="15879" width="15" style="43" customWidth="1"/>
    <col min="15880" max="15880" width="17" style="43" customWidth="1"/>
    <col min="15881" max="16128" width="15" style="43"/>
    <col min="16129" max="16129" width="12.875" style="43" customWidth="1"/>
    <col min="16130" max="16130" width="18.875" style="43" customWidth="1"/>
    <col min="16131" max="16135" width="15" style="43" customWidth="1"/>
    <col min="16136" max="16136" width="17" style="43" customWidth="1"/>
    <col min="16137" max="16384" width="15" style="43"/>
  </cols>
  <sheetData>
    <row r="1" spans="1:8">
      <c r="A1" s="771" t="s">
        <v>264</v>
      </c>
      <c r="B1" s="772"/>
      <c r="C1" s="772"/>
      <c r="D1" s="772"/>
      <c r="E1" s="772"/>
      <c r="F1" s="772"/>
      <c r="G1" s="772"/>
      <c r="H1" s="772"/>
    </row>
    <row r="2" spans="1:8">
      <c r="A2" s="771" t="s">
        <v>278</v>
      </c>
      <c r="B2" s="772"/>
      <c r="C2" s="772"/>
      <c r="D2" s="772"/>
      <c r="E2" s="772"/>
      <c r="F2" s="772"/>
      <c r="G2" s="772"/>
      <c r="H2" s="772"/>
    </row>
    <row r="3" spans="1:8">
      <c r="A3" s="771" t="s">
        <v>1007</v>
      </c>
      <c r="B3" s="772"/>
      <c r="C3" s="772"/>
      <c r="D3" s="772"/>
      <c r="E3" s="772"/>
      <c r="F3" s="772"/>
      <c r="G3" s="772"/>
      <c r="H3" s="772"/>
    </row>
    <row r="5" spans="1:8">
      <c r="A5" s="773" t="s">
        <v>65</v>
      </c>
      <c r="B5" s="775" t="s">
        <v>50</v>
      </c>
      <c r="C5" s="775" t="s">
        <v>39</v>
      </c>
      <c r="D5" s="777" t="s">
        <v>66</v>
      </c>
      <c r="E5" s="777" t="s">
        <v>127</v>
      </c>
      <c r="F5" s="777" t="s">
        <v>86</v>
      </c>
      <c r="G5" s="777" t="s">
        <v>279</v>
      </c>
      <c r="H5" s="777" t="s">
        <v>35</v>
      </c>
    </row>
    <row r="6" spans="1:8" ht="53.25" customHeight="1">
      <c r="A6" s="774"/>
      <c r="B6" s="776"/>
      <c r="C6" s="776"/>
      <c r="D6" s="778"/>
      <c r="E6" s="778"/>
      <c r="F6" s="778"/>
      <c r="G6" s="778"/>
      <c r="H6" s="778"/>
    </row>
    <row r="7" spans="1:8">
      <c r="A7" s="50" t="s">
        <v>96</v>
      </c>
      <c r="B7" s="50"/>
      <c r="C7" s="50"/>
      <c r="D7" s="54"/>
      <c r="E7" s="54"/>
      <c r="F7" s="54"/>
      <c r="G7" s="54"/>
      <c r="H7" s="54"/>
    </row>
    <row r="8" spans="1:8">
      <c r="A8" s="52" t="s">
        <v>69</v>
      </c>
      <c r="B8" s="53" t="s">
        <v>268</v>
      </c>
      <c r="C8" s="53" t="s">
        <v>197</v>
      </c>
      <c r="D8" s="54">
        <v>0</v>
      </c>
      <c r="E8" s="54"/>
      <c r="F8" s="54"/>
      <c r="G8" s="54"/>
      <c r="H8" s="54">
        <f t="shared" ref="H8:H17" si="0">SUM(E8:G8)</f>
        <v>0</v>
      </c>
    </row>
    <row r="9" spans="1:8">
      <c r="A9" s="52"/>
      <c r="B9" s="53" t="s">
        <v>269</v>
      </c>
      <c r="C9" s="53" t="s">
        <v>197</v>
      </c>
      <c r="D9" s="54">
        <f>'Sheet3 (โอน)'!D66</f>
        <v>438320</v>
      </c>
      <c r="E9" s="54">
        <f>'Sheet3 (โอน)'!E66</f>
        <v>380880</v>
      </c>
      <c r="F9" s="54">
        <v>0</v>
      </c>
      <c r="G9" s="54"/>
      <c r="H9" s="54">
        <f t="shared" si="0"/>
        <v>380880</v>
      </c>
    </row>
    <row r="10" spans="1:8">
      <c r="A10" s="52" t="s">
        <v>70</v>
      </c>
      <c r="B10" s="53" t="s">
        <v>270</v>
      </c>
      <c r="C10" s="53" t="s">
        <v>197</v>
      </c>
      <c r="D10" s="54">
        <f>'Sheet3 (โอน)'!D117</f>
        <v>41250</v>
      </c>
      <c r="E10" s="54">
        <f>'Sheet3 (โอน)'!E117</f>
        <v>0</v>
      </c>
      <c r="F10" s="54"/>
      <c r="G10" s="54"/>
      <c r="H10" s="54">
        <f t="shared" si="0"/>
        <v>0</v>
      </c>
    </row>
    <row r="11" spans="1:8">
      <c r="A11" s="52"/>
      <c r="B11" s="53" t="s">
        <v>271</v>
      </c>
      <c r="C11" s="53" t="s">
        <v>197</v>
      </c>
      <c r="D11" s="54">
        <f>'Sheet3 (โอน)'!D219</f>
        <v>170927</v>
      </c>
      <c r="E11" s="54">
        <f>'Sheet3 (โอน)'!E219</f>
        <v>90088</v>
      </c>
      <c r="F11" s="54"/>
      <c r="G11" s="54"/>
      <c r="H11" s="54">
        <f t="shared" si="0"/>
        <v>90088</v>
      </c>
    </row>
    <row r="12" spans="1:8">
      <c r="A12" s="52"/>
      <c r="B12" s="53" t="s">
        <v>272</v>
      </c>
      <c r="C12" s="53" t="s">
        <v>197</v>
      </c>
      <c r="D12" s="54">
        <f>'Sheet3 (โอน)'!D291</f>
        <v>66000</v>
      </c>
      <c r="E12" s="54">
        <f>'Sheet3 (โอน)'!E291</f>
        <v>49790</v>
      </c>
      <c r="F12" s="54"/>
      <c r="G12" s="54"/>
      <c r="H12" s="54">
        <f t="shared" si="0"/>
        <v>49790</v>
      </c>
    </row>
    <row r="13" spans="1:8">
      <c r="A13" s="52"/>
      <c r="B13" s="53" t="s">
        <v>74</v>
      </c>
      <c r="C13" s="53" t="s">
        <v>197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</row>
    <row r="14" spans="1:8">
      <c r="A14" s="52" t="s">
        <v>75</v>
      </c>
      <c r="B14" s="53" t="s">
        <v>273</v>
      </c>
      <c r="C14" s="53" t="s">
        <v>197</v>
      </c>
      <c r="D14" s="54">
        <f>'Sheet3 (โอน)'!D366</f>
        <v>7000</v>
      </c>
      <c r="E14" s="54">
        <f>'Sheet3 (โอน)'!E366</f>
        <v>7000</v>
      </c>
      <c r="F14" s="54"/>
      <c r="G14" s="54"/>
      <c r="H14" s="54">
        <f t="shared" si="0"/>
        <v>7000</v>
      </c>
    </row>
    <row r="15" spans="1:8">
      <c r="A15" s="52"/>
      <c r="B15" s="53" t="s">
        <v>274</v>
      </c>
      <c r="C15" s="53" t="s">
        <v>197</v>
      </c>
      <c r="D15" s="54">
        <v>0</v>
      </c>
      <c r="E15" s="54"/>
      <c r="F15" s="54"/>
      <c r="G15" s="54"/>
      <c r="H15" s="54"/>
    </row>
    <row r="16" spans="1:8">
      <c r="A16" s="52" t="s">
        <v>78</v>
      </c>
      <c r="B16" s="53" t="s">
        <v>79</v>
      </c>
      <c r="C16" s="53" t="s">
        <v>197</v>
      </c>
      <c r="D16" s="54">
        <v>0</v>
      </c>
      <c r="E16" s="54"/>
      <c r="F16" s="54"/>
      <c r="G16" s="54"/>
      <c r="H16" s="54"/>
    </row>
    <row r="17" spans="1:9">
      <c r="A17" s="52" t="s">
        <v>80</v>
      </c>
      <c r="B17" s="53" t="s">
        <v>275</v>
      </c>
      <c r="C17" s="53" t="s">
        <v>197</v>
      </c>
      <c r="D17" s="54">
        <f>'Sheet3 (โอน)'!D331</f>
        <v>340000</v>
      </c>
      <c r="E17" s="54">
        <f>'Sheet3 (โอน)'!E331</f>
        <v>340000</v>
      </c>
      <c r="F17" s="54"/>
      <c r="G17" s="54"/>
      <c r="H17" s="54">
        <f t="shared" si="0"/>
        <v>340000</v>
      </c>
    </row>
    <row r="18" spans="1:9">
      <c r="A18" s="768" t="s">
        <v>35</v>
      </c>
      <c r="B18" s="769"/>
      <c r="C18" s="770"/>
      <c r="D18" s="55">
        <f>SUM(D8:D17)</f>
        <v>1063497</v>
      </c>
      <c r="E18" s="55">
        <f>SUM(E8:E17)</f>
        <v>867758</v>
      </c>
      <c r="F18" s="55">
        <f>SUM(F8:F17)</f>
        <v>0</v>
      </c>
      <c r="G18" s="55">
        <f>SUM(G8:G17)</f>
        <v>0</v>
      </c>
      <c r="H18" s="55">
        <f>SUM(H8:H17)</f>
        <v>867758</v>
      </c>
    </row>
    <row r="20" spans="1:9" s="293" customFormat="1" ht="21">
      <c r="A20" s="293" t="s">
        <v>64</v>
      </c>
      <c r="D20" s="321"/>
      <c r="E20" s="321"/>
      <c r="F20" s="321"/>
      <c r="G20" s="321"/>
      <c r="H20" s="321"/>
      <c r="I20" s="321"/>
    </row>
  </sheetData>
  <mergeCells count="12">
    <mergeCell ref="H5:H6"/>
    <mergeCell ref="A18:C18"/>
    <mergeCell ref="A1:H1"/>
    <mergeCell ref="A2:H2"/>
    <mergeCell ref="A3:H3"/>
    <mergeCell ref="A5:A6"/>
    <mergeCell ref="B5:B6"/>
    <mergeCell ref="C5:C6"/>
    <mergeCell ref="D5:D6"/>
    <mergeCell ref="E5:E6"/>
    <mergeCell ref="F5:F6"/>
    <mergeCell ref="G5:G6"/>
  </mergeCells>
  <pageMargins left="0.53" right="0.2" top="0.36" bottom="0.38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F14" sqref="F14"/>
    </sheetView>
  </sheetViews>
  <sheetFormatPr defaultRowHeight="24.75"/>
  <cols>
    <col min="1" max="1" width="15.25" style="43" customWidth="1"/>
    <col min="2" max="2" width="21.875" style="43" customWidth="1"/>
    <col min="3" max="3" width="21.375" style="43" customWidth="1"/>
    <col min="4" max="4" width="15" style="56" customWidth="1"/>
    <col min="5" max="5" width="17.75" style="56" customWidth="1"/>
    <col min="6" max="6" width="19" style="56" customWidth="1"/>
    <col min="7" max="7" width="17.75" style="56" customWidth="1"/>
    <col min="8" max="256" width="9" style="43"/>
    <col min="257" max="257" width="12.75" style="43" customWidth="1"/>
    <col min="258" max="258" width="20.5" style="43" customWidth="1"/>
    <col min="259" max="259" width="24.375" style="43" customWidth="1"/>
    <col min="260" max="260" width="15" style="43" customWidth="1"/>
    <col min="261" max="261" width="17" style="43" customWidth="1"/>
    <col min="262" max="262" width="19" style="43" customWidth="1"/>
    <col min="263" max="263" width="15.75" style="43" customWidth="1"/>
    <col min="264" max="512" width="9" style="43"/>
    <col min="513" max="513" width="12.75" style="43" customWidth="1"/>
    <col min="514" max="514" width="20.5" style="43" customWidth="1"/>
    <col min="515" max="515" width="24.375" style="43" customWidth="1"/>
    <col min="516" max="516" width="15" style="43" customWidth="1"/>
    <col min="517" max="517" width="17" style="43" customWidth="1"/>
    <col min="518" max="518" width="19" style="43" customWidth="1"/>
    <col min="519" max="519" width="15.75" style="43" customWidth="1"/>
    <col min="520" max="768" width="9" style="43"/>
    <col min="769" max="769" width="12.75" style="43" customWidth="1"/>
    <col min="770" max="770" width="20.5" style="43" customWidth="1"/>
    <col min="771" max="771" width="24.375" style="43" customWidth="1"/>
    <col min="772" max="772" width="15" style="43" customWidth="1"/>
    <col min="773" max="773" width="17" style="43" customWidth="1"/>
    <col min="774" max="774" width="19" style="43" customWidth="1"/>
    <col min="775" max="775" width="15.75" style="43" customWidth="1"/>
    <col min="776" max="1024" width="9" style="43"/>
    <col min="1025" max="1025" width="12.75" style="43" customWidth="1"/>
    <col min="1026" max="1026" width="20.5" style="43" customWidth="1"/>
    <col min="1027" max="1027" width="24.375" style="43" customWidth="1"/>
    <col min="1028" max="1028" width="15" style="43" customWidth="1"/>
    <col min="1029" max="1029" width="17" style="43" customWidth="1"/>
    <col min="1030" max="1030" width="19" style="43" customWidth="1"/>
    <col min="1031" max="1031" width="15.75" style="43" customWidth="1"/>
    <col min="1032" max="1280" width="9" style="43"/>
    <col min="1281" max="1281" width="12.75" style="43" customWidth="1"/>
    <col min="1282" max="1282" width="20.5" style="43" customWidth="1"/>
    <col min="1283" max="1283" width="24.375" style="43" customWidth="1"/>
    <col min="1284" max="1284" width="15" style="43" customWidth="1"/>
    <col min="1285" max="1285" width="17" style="43" customWidth="1"/>
    <col min="1286" max="1286" width="19" style="43" customWidth="1"/>
    <col min="1287" max="1287" width="15.75" style="43" customWidth="1"/>
    <col min="1288" max="1536" width="9" style="43"/>
    <col min="1537" max="1537" width="12.75" style="43" customWidth="1"/>
    <col min="1538" max="1538" width="20.5" style="43" customWidth="1"/>
    <col min="1539" max="1539" width="24.375" style="43" customWidth="1"/>
    <col min="1540" max="1540" width="15" style="43" customWidth="1"/>
    <col min="1541" max="1541" width="17" style="43" customWidth="1"/>
    <col min="1542" max="1542" width="19" style="43" customWidth="1"/>
    <col min="1543" max="1543" width="15.75" style="43" customWidth="1"/>
    <col min="1544" max="1792" width="9" style="43"/>
    <col min="1793" max="1793" width="12.75" style="43" customWidth="1"/>
    <col min="1794" max="1794" width="20.5" style="43" customWidth="1"/>
    <col min="1795" max="1795" width="24.375" style="43" customWidth="1"/>
    <col min="1796" max="1796" width="15" style="43" customWidth="1"/>
    <col min="1797" max="1797" width="17" style="43" customWidth="1"/>
    <col min="1798" max="1798" width="19" style="43" customWidth="1"/>
    <col min="1799" max="1799" width="15.75" style="43" customWidth="1"/>
    <col min="1800" max="2048" width="9" style="43"/>
    <col min="2049" max="2049" width="12.75" style="43" customWidth="1"/>
    <col min="2050" max="2050" width="20.5" style="43" customWidth="1"/>
    <col min="2051" max="2051" width="24.375" style="43" customWidth="1"/>
    <col min="2052" max="2052" width="15" style="43" customWidth="1"/>
    <col min="2053" max="2053" width="17" style="43" customWidth="1"/>
    <col min="2054" max="2054" width="19" style="43" customWidth="1"/>
    <col min="2055" max="2055" width="15.75" style="43" customWidth="1"/>
    <col min="2056" max="2304" width="9" style="43"/>
    <col min="2305" max="2305" width="12.75" style="43" customWidth="1"/>
    <col min="2306" max="2306" width="20.5" style="43" customWidth="1"/>
    <col min="2307" max="2307" width="24.375" style="43" customWidth="1"/>
    <col min="2308" max="2308" width="15" style="43" customWidth="1"/>
    <col min="2309" max="2309" width="17" style="43" customWidth="1"/>
    <col min="2310" max="2310" width="19" style="43" customWidth="1"/>
    <col min="2311" max="2311" width="15.75" style="43" customWidth="1"/>
    <col min="2312" max="2560" width="9" style="43"/>
    <col min="2561" max="2561" width="12.75" style="43" customWidth="1"/>
    <col min="2562" max="2562" width="20.5" style="43" customWidth="1"/>
    <col min="2563" max="2563" width="24.375" style="43" customWidth="1"/>
    <col min="2564" max="2564" width="15" style="43" customWidth="1"/>
    <col min="2565" max="2565" width="17" style="43" customWidth="1"/>
    <col min="2566" max="2566" width="19" style="43" customWidth="1"/>
    <col min="2567" max="2567" width="15.75" style="43" customWidth="1"/>
    <col min="2568" max="2816" width="9" style="43"/>
    <col min="2817" max="2817" width="12.75" style="43" customWidth="1"/>
    <col min="2818" max="2818" width="20.5" style="43" customWidth="1"/>
    <col min="2819" max="2819" width="24.375" style="43" customWidth="1"/>
    <col min="2820" max="2820" width="15" style="43" customWidth="1"/>
    <col min="2821" max="2821" width="17" style="43" customWidth="1"/>
    <col min="2822" max="2822" width="19" style="43" customWidth="1"/>
    <col min="2823" max="2823" width="15.75" style="43" customWidth="1"/>
    <col min="2824" max="3072" width="9" style="43"/>
    <col min="3073" max="3073" width="12.75" style="43" customWidth="1"/>
    <col min="3074" max="3074" width="20.5" style="43" customWidth="1"/>
    <col min="3075" max="3075" width="24.375" style="43" customWidth="1"/>
    <col min="3076" max="3076" width="15" style="43" customWidth="1"/>
    <col min="3077" max="3077" width="17" style="43" customWidth="1"/>
    <col min="3078" max="3078" width="19" style="43" customWidth="1"/>
    <col min="3079" max="3079" width="15.75" style="43" customWidth="1"/>
    <col min="3080" max="3328" width="9" style="43"/>
    <col min="3329" max="3329" width="12.75" style="43" customWidth="1"/>
    <col min="3330" max="3330" width="20.5" style="43" customWidth="1"/>
    <col min="3331" max="3331" width="24.375" style="43" customWidth="1"/>
    <col min="3332" max="3332" width="15" style="43" customWidth="1"/>
    <col min="3333" max="3333" width="17" style="43" customWidth="1"/>
    <col min="3334" max="3334" width="19" style="43" customWidth="1"/>
    <col min="3335" max="3335" width="15.75" style="43" customWidth="1"/>
    <col min="3336" max="3584" width="9" style="43"/>
    <col min="3585" max="3585" width="12.75" style="43" customWidth="1"/>
    <col min="3586" max="3586" width="20.5" style="43" customWidth="1"/>
    <col min="3587" max="3587" width="24.375" style="43" customWidth="1"/>
    <col min="3588" max="3588" width="15" style="43" customWidth="1"/>
    <col min="3589" max="3589" width="17" style="43" customWidth="1"/>
    <col min="3590" max="3590" width="19" style="43" customWidth="1"/>
    <col min="3591" max="3591" width="15.75" style="43" customWidth="1"/>
    <col min="3592" max="3840" width="9" style="43"/>
    <col min="3841" max="3841" width="12.75" style="43" customWidth="1"/>
    <col min="3842" max="3842" width="20.5" style="43" customWidth="1"/>
    <col min="3843" max="3843" width="24.375" style="43" customWidth="1"/>
    <col min="3844" max="3844" width="15" style="43" customWidth="1"/>
    <col min="3845" max="3845" width="17" style="43" customWidth="1"/>
    <col min="3846" max="3846" width="19" style="43" customWidth="1"/>
    <col min="3847" max="3847" width="15.75" style="43" customWidth="1"/>
    <col min="3848" max="4096" width="9" style="43"/>
    <col min="4097" max="4097" width="12.75" style="43" customWidth="1"/>
    <col min="4098" max="4098" width="20.5" style="43" customWidth="1"/>
    <col min="4099" max="4099" width="24.375" style="43" customWidth="1"/>
    <col min="4100" max="4100" width="15" style="43" customWidth="1"/>
    <col min="4101" max="4101" width="17" style="43" customWidth="1"/>
    <col min="4102" max="4102" width="19" style="43" customWidth="1"/>
    <col min="4103" max="4103" width="15.75" style="43" customWidth="1"/>
    <col min="4104" max="4352" width="9" style="43"/>
    <col min="4353" max="4353" width="12.75" style="43" customWidth="1"/>
    <col min="4354" max="4354" width="20.5" style="43" customWidth="1"/>
    <col min="4355" max="4355" width="24.375" style="43" customWidth="1"/>
    <col min="4356" max="4356" width="15" style="43" customWidth="1"/>
    <col min="4357" max="4357" width="17" style="43" customWidth="1"/>
    <col min="4358" max="4358" width="19" style="43" customWidth="1"/>
    <col min="4359" max="4359" width="15.75" style="43" customWidth="1"/>
    <col min="4360" max="4608" width="9" style="43"/>
    <col min="4609" max="4609" width="12.75" style="43" customWidth="1"/>
    <col min="4610" max="4610" width="20.5" style="43" customWidth="1"/>
    <col min="4611" max="4611" width="24.375" style="43" customWidth="1"/>
    <col min="4612" max="4612" width="15" style="43" customWidth="1"/>
    <col min="4613" max="4613" width="17" style="43" customWidth="1"/>
    <col min="4614" max="4614" width="19" style="43" customWidth="1"/>
    <col min="4615" max="4615" width="15.75" style="43" customWidth="1"/>
    <col min="4616" max="4864" width="9" style="43"/>
    <col min="4865" max="4865" width="12.75" style="43" customWidth="1"/>
    <col min="4866" max="4866" width="20.5" style="43" customWidth="1"/>
    <col min="4867" max="4867" width="24.375" style="43" customWidth="1"/>
    <col min="4868" max="4868" width="15" style="43" customWidth="1"/>
    <col min="4869" max="4869" width="17" style="43" customWidth="1"/>
    <col min="4870" max="4870" width="19" style="43" customWidth="1"/>
    <col min="4871" max="4871" width="15.75" style="43" customWidth="1"/>
    <col min="4872" max="5120" width="9" style="43"/>
    <col min="5121" max="5121" width="12.75" style="43" customWidth="1"/>
    <col min="5122" max="5122" width="20.5" style="43" customWidth="1"/>
    <col min="5123" max="5123" width="24.375" style="43" customWidth="1"/>
    <col min="5124" max="5124" width="15" style="43" customWidth="1"/>
    <col min="5125" max="5125" width="17" style="43" customWidth="1"/>
    <col min="5126" max="5126" width="19" style="43" customWidth="1"/>
    <col min="5127" max="5127" width="15.75" style="43" customWidth="1"/>
    <col min="5128" max="5376" width="9" style="43"/>
    <col min="5377" max="5377" width="12.75" style="43" customWidth="1"/>
    <col min="5378" max="5378" width="20.5" style="43" customWidth="1"/>
    <col min="5379" max="5379" width="24.375" style="43" customWidth="1"/>
    <col min="5380" max="5380" width="15" style="43" customWidth="1"/>
    <col min="5381" max="5381" width="17" style="43" customWidth="1"/>
    <col min="5382" max="5382" width="19" style="43" customWidth="1"/>
    <col min="5383" max="5383" width="15.75" style="43" customWidth="1"/>
    <col min="5384" max="5632" width="9" style="43"/>
    <col min="5633" max="5633" width="12.75" style="43" customWidth="1"/>
    <col min="5634" max="5634" width="20.5" style="43" customWidth="1"/>
    <col min="5635" max="5635" width="24.375" style="43" customWidth="1"/>
    <col min="5636" max="5636" width="15" style="43" customWidth="1"/>
    <col min="5637" max="5637" width="17" style="43" customWidth="1"/>
    <col min="5638" max="5638" width="19" style="43" customWidth="1"/>
    <col min="5639" max="5639" width="15.75" style="43" customWidth="1"/>
    <col min="5640" max="5888" width="9" style="43"/>
    <col min="5889" max="5889" width="12.75" style="43" customWidth="1"/>
    <col min="5890" max="5890" width="20.5" style="43" customWidth="1"/>
    <col min="5891" max="5891" width="24.375" style="43" customWidth="1"/>
    <col min="5892" max="5892" width="15" style="43" customWidth="1"/>
    <col min="5893" max="5893" width="17" style="43" customWidth="1"/>
    <col min="5894" max="5894" width="19" style="43" customWidth="1"/>
    <col min="5895" max="5895" width="15.75" style="43" customWidth="1"/>
    <col min="5896" max="6144" width="9" style="43"/>
    <col min="6145" max="6145" width="12.75" style="43" customWidth="1"/>
    <col min="6146" max="6146" width="20.5" style="43" customWidth="1"/>
    <col min="6147" max="6147" width="24.375" style="43" customWidth="1"/>
    <col min="6148" max="6148" width="15" style="43" customWidth="1"/>
    <col min="6149" max="6149" width="17" style="43" customWidth="1"/>
    <col min="6150" max="6150" width="19" style="43" customWidth="1"/>
    <col min="6151" max="6151" width="15.75" style="43" customWidth="1"/>
    <col min="6152" max="6400" width="9" style="43"/>
    <col min="6401" max="6401" width="12.75" style="43" customWidth="1"/>
    <col min="6402" max="6402" width="20.5" style="43" customWidth="1"/>
    <col min="6403" max="6403" width="24.375" style="43" customWidth="1"/>
    <col min="6404" max="6404" width="15" style="43" customWidth="1"/>
    <col min="6405" max="6405" width="17" style="43" customWidth="1"/>
    <col min="6406" max="6406" width="19" style="43" customWidth="1"/>
    <col min="6407" max="6407" width="15.75" style="43" customWidth="1"/>
    <col min="6408" max="6656" width="9" style="43"/>
    <col min="6657" max="6657" width="12.75" style="43" customWidth="1"/>
    <col min="6658" max="6658" width="20.5" style="43" customWidth="1"/>
    <col min="6659" max="6659" width="24.375" style="43" customWidth="1"/>
    <col min="6660" max="6660" width="15" style="43" customWidth="1"/>
    <col min="6661" max="6661" width="17" style="43" customWidth="1"/>
    <col min="6662" max="6662" width="19" style="43" customWidth="1"/>
    <col min="6663" max="6663" width="15.75" style="43" customWidth="1"/>
    <col min="6664" max="6912" width="9" style="43"/>
    <col min="6913" max="6913" width="12.75" style="43" customWidth="1"/>
    <col min="6914" max="6914" width="20.5" style="43" customWidth="1"/>
    <col min="6915" max="6915" width="24.375" style="43" customWidth="1"/>
    <col min="6916" max="6916" width="15" style="43" customWidth="1"/>
    <col min="6917" max="6917" width="17" style="43" customWidth="1"/>
    <col min="6918" max="6918" width="19" style="43" customWidth="1"/>
    <col min="6919" max="6919" width="15.75" style="43" customWidth="1"/>
    <col min="6920" max="7168" width="9" style="43"/>
    <col min="7169" max="7169" width="12.75" style="43" customWidth="1"/>
    <col min="7170" max="7170" width="20.5" style="43" customWidth="1"/>
    <col min="7171" max="7171" width="24.375" style="43" customWidth="1"/>
    <col min="7172" max="7172" width="15" style="43" customWidth="1"/>
    <col min="7173" max="7173" width="17" style="43" customWidth="1"/>
    <col min="7174" max="7174" width="19" style="43" customWidth="1"/>
    <col min="7175" max="7175" width="15.75" style="43" customWidth="1"/>
    <col min="7176" max="7424" width="9" style="43"/>
    <col min="7425" max="7425" width="12.75" style="43" customWidth="1"/>
    <col min="7426" max="7426" width="20.5" style="43" customWidth="1"/>
    <col min="7427" max="7427" width="24.375" style="43" customWidth="1"/>
    <col min="7428" max="7428" width="15" style="43" customWidth="1"/>
    <col min="7429" max="7429" width="17" style="43" customWidth="1"/>
    <col min="7430" max="7430" width="19" style="43" customWidth="1"/>
    <col min="7431" max="7431" width="15.75" style="43" customWidth="1"/>
    <col min="7432" max="7680" width="9" style="43"/>
    <col min="7681" max="7681" width="12.75" style="43" customWidth="1"/>
    <col min="7682" max="7682" width="20.5" style="43" customWidth="1"/>
    <col min="7683" max="7683" width="24.375" style="43" customWidth="1"/>
    <col min="7684" max="7684" width="15" style="43" customWidth="1"/>
    <col min="7685" max="7685" width="17" style="43" customWidth="1"/>
    <col min="7686" max="7686" width="19" style="43" customWidth="1"/>
    <col min="7687" max="7687" width="15.75" style="43" customWidth="1"/>
    <col min="7688" max="7936" width="9" style="43"/>
    <col min="7937" max="7937" width="12.75" style="43" customWidth="1"/>
    <col min="7938" max="7938" width="20.5" style="43" customWidth="1"/>
    <col min="7939" max="7939" width="24.375" style="43" customWidth="1"/>
    <col min="7940" max="7940" width="15" style="43" customWidth="1"/>
    <col min="7941" max="7941" width="17" style="43" customWidth="1"/>
    <col min="7942" max="7942" width="19" style="43" customWidth="1"/>
    <col min="7943" max="7943" width="15.75" style="43" customWidth="1"/>
    <col min="7944" max="8192" width="9" style="43"/>
    <col min="8193" max="8193" width="12.75" style="43" customWidth="1"/>
    <col min="8194" max="8194" width="20.5" style="43" customWidth="1"/>
    <col min="8195" max="8195" width="24.375" style="43" customWidth="1"/>
    <col min="8196" max="8196" width="15" style="43" customWidth="1"/>
    <col min="8197" max="8197" width="17" style="43" customWidth="1"/>
    <col min="8198" max="8198" width="19" style="43" customWidth="1"/>
    <col min="8199" max="8199" width="15.75" style="43" customWidth="1"/>
    <col min="8200" max="8448" width="9" style="43"/>
    <col min="8449" max="8449" width="12.75" style="43" customWidth="1"/>
    <col min="8450" max="8450" width="20.5" style="43" customWidth="1"/>
    <col min="8451" max="8451" width="24.375" style="43" customWidth="1"/>
    <col min="8452" max="8452" width="15" style="43" customWidth="1"/>
    <col min="8453" max="8453" width="17" style="43" customWidth="1"/>
    <col min="8454" max="8454" width="19" style="43" customWidth="1"/>
    <col min="8455" max="8455" width="15.75" style="43" customWidth="1"/>
    <col min="8456" max="8704" width="9" style="43"/>
    <col min="8705" max="8705" width="12.75" style="43" customWidth="1"/>
    <col min="8706" max="8706" width="20.5" style="43" customWidth="1"/>
    <col min="8707" max="8707" width="24.375" style="43" customWidth="1"/>
    <col min="8708" max="8708" width="15" style="43" customWidth="1"/>
    <col min="8709" max="8709" width="17" style="43" customWidth="1"/>
    <col min="8710" max="8710" width="19" style="43" customWidth="1"/>
    <col min="8711" max="8711" width="15.75" style="43" customWidth="1"/>
    <col min="8712" max="8960" width="9" style="43"/>
    <col min="8961" max="8961" width="12.75" style="43" customWidth="1"/>
    <col min="8962" max="8962" width="20.5" style="43" customWidth="1"/>
    <col min="8963" max="8963" width="24.375" style="43" customWidth="1"/>
    <col min="8964" max="8964" width="15" style="43" customWidth="1"/>
    <col min="8965" max="8965" width="17" style="43" customWidth="1"/>
    <col min="8966" max="8966" width="19" style="43" customWidth="1"/>
    <col min="8967" max="8967" width="15.75" style="43" customWidth="1"/>
    <col min="8968" max="9216" width="9" style="43"/>
    <col min="9217" max="9217" width="12.75" style="43" customWidth="1"/>
    <col min="9218" max="9218" width="20.5" style="43" customWidth="1"/>
    <col min="9219" max="9219" width="24.375" style="43" customWidth="1"/>
    <col min="9220" max="9220" width="15" style="43" customWidth="1"/>
    <col min="9221" max="9221" width="17" style="43" customWidth="1"/>
    <col min="9222" max="9222" width="19" style="43" customWidth="1"/>
    <col min="9223" max="9223" width="15.75" style="43" customWidth="1"/>
    <col min="9224" max="9472" width="9" style="43"/>
    <col min="9473" max="9473" width="12.75" style="43" customWidth="1"/>
    <col min="9474" max="9474" width="20.5" style="43" customWidth="1"/>
    <col min="9475" max="9475" width="24.375" style="43" customWidth="1"/>
    <col min="9476" max="9476" width="15" style="43" customWidth="1"/>
    <col min="9477" max="9477" width="17" style="43" customWidth="1"/>
    <col min="9478" max="9478" width="19" style="43" customWidth="1"/>
    <col min="9479" max="9479" width="15.75" style="43" customWidth="1"/>
    <col min="9480" max="9728" width="9" style="43"/>
    <col min="9729" max="9729" width="12.75" style="43" customWidth="1"/>
    <col min="9730" max="9730" width="20.5" style="43" customWidth="1"/>
    <col min="9731" max="9731" width="24.375" style="43" customWidth="1"/>
    <col min="9732" max="9732" width="15" style="43" customWidth="1"/>
    <col min="9733" max="9733" width="17" style="43" customWidth="1"/>
    <col min="9734" max="9734" width="19" style="43" customWidth="1"/>
    <col min="9735" max="9735" width="15.75" style="43" customWidth="1"/>
    <col min="9736" max="9984" width="9" style="43"/>
    <col min="9985" max="9985" width="12.75" style="43" customWidth="1"/>
    <col min="9986" max="9986" width="20.5" style="43" customWidth="1"/>
    <col min="9987" max="9987" width="24.375" style="43" customWidth="1"/>
    <col min="9988" max="9988" width="15" style="43" customWidth="1"/>
    <col min="9989" max="9989" width="17" style="43" customWidth="1"/>
    <col min="9990" max="9990" width="19" style="43" customWidth="1"/>
    <col min="9991" max="9991" width="15.75" style="43" customWidth="1"/>
    <col min="9992" max="10240" width="9" style="43"/>
    <col min="10241" max="10241" width="12.75" style="43" customWidth="1"/>
    <col min="10242" max="10242" width="20.5" style="43" customWidth="1"/>
    <col min="10243" max="10243" width="24.375" style="43" customWidth="1"/>
    <col min="10244" max="10244" width="15" style="43" customWidth="1"/>
    <col min="10245" max="10245" width="17" style="43" customWidth="1"/>
    <col min="10246" max="10246" width="19" style="43" customWidth="1"/>
    <col min="10247" max="10247" width="15.75" style="43" customWidth="1"/>
    <col min="10248" max="10496" width="9" style="43"/>
    <col min="10497" max="10497" width="12.75" style="43" customWidth="1"/>
    <col min="10498" max="10498" width="20.5" style="43" customWidth="1"/>
    <col min="10499" max="10499" width="24.375" style="43" customWidth="1"/>
    <col min="10500" max="10500" width="15" style="43" customWidth="1"/>
    <col min="10501" max="10501" width="17" style="43" customWidth="1"/>
    <col min="10502" max="10502" width="19" style="43" customWidth="1"/>
    <col min="10503" max="10503" width="15.75" style="43" customWidth="1"/>
    <col min="10504" max="10752" width="9" style="43"/>
    <col min="10753" max="10753" width="12.75" style="43" customWidth="1"/>
    <col min="10754" max="10754" width="20.5" style="43" customWidth="1"/>
    <col min="10755" max="10755" width="24.375" style="43" customWidth="1"/>
    <col min="10756" max="10756" width="15" style="43" customWidth="1"/>
    <col min="10757" max="10757" width="17" style="43" customWidth="1"/>
    <col min="10758" max="10758" width="19" style="43" customWidth="1"/>
    <col min="10759" max="10759" width="15.75" style="43" customWidth="1"/>
    <col min="10760" max="11008" width="9" style="43"/>
    <col min="11009" max="11009" width="12.75" style="43" customWidth="1"/>
    <col min="11010" max="11010" width="20.5" style="43" customWidth="1"/>
    <col min="11011" max="11011" width="24.375" style="43" customWidth="1"/>
    <col min="11012" max="11012" width="15" style="43" customWidth="1"/>
    <col min="11013" max="11013" width="17" style="43" customWidth="1"/>
    <col min="11014" max="11014" width="19" style="43" customWidth="1"/>
    <col min="11015" max="11015" width="15.75" style="43" customWidth="1"/>
    <col min="11016" max="11264" width="9" style="43"/>
    <col min="11265" max="11265" width="12.75" style="43" customWidth="1"/>
    <col min="11266" max="11266" width="20.5" style="43" customWidth="1"/>
    <col min="11267" max="11267" width="24.375" style="43" customWidth="1"/>
    <col min="11268" max="11268" width="15" style="43" customWidth="1"/>
    <col min="11269" max="11269" width="17" style="43" customWidth="1"/>
    <col min="11270" max="11270" width="19" style="43" customWidth="1"/>
    <col min="11271" max="11271" width="15.75" style="43" customWidth="1"/>
    <col min="11272" max="11520" width="9" style="43"/>
    <col min="11521" max="11521" width="12.75" style="43" customWidth="1"/>
    <col min="11522" max="11522" width="20.5" style="43" customWidth="1"/>
    <col min="11523" max="11523" width="24.375" style="43" customWidth="1"/>
    <col min="11524" max="11524" width="15" style="43" customWidth="1"/>
    <col min="11525" max="11525" width="17" style="43" customWidth="1"/>
    <col min="11526" max="11526" width="19" style="43" customWidth="1"/>
    <col min="11527" max="11527" width="15.75" style="43" customWidth="1"/>
    <col min="11528" max="11776" width="9" style="43"/>
    <col min="11777" max="11777" width="12.75" style="43" customWidth="1"/>
    <col min="11778" max="11778" width="20.5" style="43" customWidth="1"/>
    <col min="11779" max="11779" width="24.375" style="43" customWidth="1"/>
    <col min="11780" max="11780" width="15" style="43" customWidth="1"/>
    <col min="11781" max="11781" width="17" style="43" customWidth="1"/>
    <col min="11782" max="11782" width="19" style="43" customWidth="1"/>
    <col min="11783" max="11783" width="15.75" style="43" customWidth="1"/>
    <col min="11784" max="12032" width="9" style="43"/>
    <col min="12033" max="12033" width="12.75" style="43" customWidth="1"/>
    <col min="12034" max="12034" width="20.5" style="43" customWidth="1"/>
    <col min="12035" max="12035" width="24.375" style="43" customWidth="1"/>
    <col min="12036" max="12036" width="15" style="43" customWidth="1"/>
    <col min="12037" max="12037" width="17" style="43" customWidth="1"/>
    <col min="12038" max="12038" width="19" style="43" customWidth="1"/>
    <col min="12039" max="12039" width="15.75" style="43" customWidth="1"/>
    <col min="12040" max="12288" width="9" style="43"/>
    <col min="12289" max="12289" width="12.75" style="43" customWidth="1"/>
    <col min="12290" max="12290" width="20.5" style="43" customWidth="1"/>
    <col min="12291" max="12291" width="24.375" style="43" customWidth="1"/>
    <col min="12292" max="12292" width="15" style="43" customWidth="1"/>
    <col min="12293" max="12293" width="17" style="43" customWidth="1"/>
    <col min="12294" max="12294" width="19" style="43" customWidth="1"/>
    <col min="12295" max="12295" width="15.75" style="43" customWidth="1"/>
    <col min="12296" max="12544" width="9" style="43"/>
    <col min="12545" max="12545" width="12.75" style="43" customWidth="1"/>
    <col min="12546" max="12546" width="20.5" style="43" customWidth="1"/>
    <col min="12547" max="12547" width="24.375" style="43" customWidth="1"/>
    <col min="12548" max="12548" width="15" style="43" customWidth="1"/>
    <col min="12549" max="12549" width="17" style="43" customWidth="1"/>
    <col min="12550" max="12550" width="19" style="43" customWidth="1"/>
    <col min="12551" max="12551" width="15.75" style="43" customWidth="1"/>
    <col min="12552" max="12800" width="9" style="43"/>
    <col min="12801" max="12801" width="12.75" style="43" customWidth="1"/>
    <col min="12802" max="12802" width="20.5" style="43" customWidth="1"/>
    <col min="12803" max="12803" width="24.375" style="43" customWidth="1"/>
    <col min="12804" max="12804" width="15" style="43" customWidth="1"/>
    <col min="12805" max="12805" width="17" style="43" customWidth="1"/>
    <col min="12806" max="12806" width="19" style="43" customWidth="1"/>
    <col min="12807" max="12807" width="15.75" style="43" customWidth="1"/>
    <col min="12808" max="13056" width="9" style="43"/>
    <col min="13057" max="13057" width="12.75" style="43" customWidth="1"/>
    <col min="13058" max="13058" width="20.5" style="43" customWidth="1"/>
    <col min="13059" max="13059" width="24.375" style="43" customWidth="1"/>
    <col min="13060" max="13060" width="15" style="43" customWidth="1"/>
    <col min="13061" max="13061" width="17" style="43" customWidth="1"/>
    <col min="13062" max="13062" width="19" style="43" customWidth="1"/>
    <col min="13063" max="13063" width="15.75" style="43" customWidth="1"/>
    <col min="13064" max="13312" width="9" style="43"/>
    <col min="13313" max="13313" width="12.75" style="43" customWidth="1"/>
    <col min="13314" max="13314" width="20.5" style="43" customWidth="1"/>
    <col min="13315" max="13315" width="24.375" style="43" customWidth="1"/>
    <col min="13316" max="13316" width="15" style="43" customWidth="1"/>
    <col min="13317" max="13317" width="17" style="43" customWidth="1"/>
    <col min="13318" max="13318" width="19" style="43" customWidth="1"/>
    <col min="13319" max="13319" width="15.75" style="43" customWidth="1"/>
    <col min="13320" max="13568" width="9" style="43"/>
    <col min="13569" max="13569" width="12.75" style="43" customWidth="1"/>
    <col min="13570" max="13570" width="20.5" style="43" customWidth="1"/>
    <col min="13571" max="13571" width="24.375" style="43" customWidth="1"/>
    <col min="13572" max="13572" width="15" style="43" customWidth="1"/>
    <col min="13573" max="13573" width="17" style="43" customWidth="1"/>
    <col min="13574" max="13574" width="19" style="43" customWidth="1"/>
    <col min="13575" max="13575" width="15.75" style="43" customWidth="1"/>
    <col min="13576" max="13824" width="9" style="43"/>
    <col min="13825" max="13825" width="12.75" style="43" customWidth="1"/>
    <col min="13826" max="13826" width="20.5" style="43" customWidth="1"/>
    <col min="13827" max="13827" width="24.375" style="43" customWidth="1"/>
    <col min="13828" max="13828" width="15" style="43" customWidth="1"/>
    <col min="13829" max="13829" width="17" style="43" customWidth="1"/>
    <col min="13830" max="13830" width="19" style="43" customWidth="1"/>
    <col min="13831" max="13831" width="15.75" style="43" customWidth="1"/>
    <col min="13832" max="14080" width="9" style="43"/>
    <col min="14081" max="14081" width="12.75" style="43" customWidth="1"/>
    <col min="14082" max="14082" width="20.5" style="43" customWidth="1"/>
    <col min="14083" max="14083" width="24.375" style="43" customWidth="1"/>
    <col min="14084" max="14084" width="15" style="43" customWidth="1"/>
    <col min="14085" max="14085" width="17" style="43" customWidth="1"/>
    <col min="14086" max="14086" width="19" style="43" customWidth="1"/>
    <col min="14087" max="14087" width="15.75" style="43" customWidth="1"/>
    <col min="14088" max="14336" width="9" style="43"/>
    <col min="14337" max="14337" width="12.75" style="43" customWidth="1"/>
    <col min="14338" max="14338" width="20.5" style="43" customWidth="1"/>
    <col min="14339" max="14339" width="24.375" style="43" customWidth="1"/>
    <col min="14340" max="14340" width="15" style="43" customWidth="1"/>
    <col min="14341" max="14341" width="17" style="43" customWidth="1"/>
    <col min="14342" max="14342" width="19" style="43" customWidth="1"/>
    <col min="14343" max="14343" width="15.75" style="43" customWidth="1"/>
    <col min="14344" max="14592" width="9" style="43"/>
    <col min="14593" max="14593" width="12.75" style="43" customWidth="1"/>
    <col min="14594" max="14594" width="20.5" style="43" customWidth="1"/>
    <col min="14595" max="14595" width="24.375" style="43" customWidth="1"/>
    <col min="14596" max="14596" width="15" style="43" customWidth="1"/>
    <col min="14597" max="14597" width="17" style="43" customWidth="1"/>
    <col min="14598" max="14598" width="19" style="43" customWidth="1"/>
    <col min="14599" max="14599" width="15.75" style="43" customWidth="1"/>
    <col min="14600" max="14848" width="9" style="43"/>
    <col min="14849" max="14849" width="12.75" style="43" customWidth="1"/>
    <col min="14850" max="14850" width="20.5" style="43" customWidth="1"/>
    <col min="14851" max="14851" width="24.375" style="43" customWidth="1"/>
    <col min="14852" max="14852" width="15" style="43" customWidth="1"/>
    <col min="14853" max="14853" width="17" style="43" customWidth="1"/>
    <col min="14854" max="14854" width="19" style="43" customWidth="1"/>
    <col min="14855" max="14855" width="15.75" style="43" customWidth="1"/>
    <col min="14856" max="15104" width="9" style="43"/>
    <col min="15105" max="15105" width="12.75" style="43" customWidth="1"/>
    <col min="15106" max="15106" width="20.5" style="43" customWidth="1"/>
    <col min="15107" max="15107" width="24.375" style="43" customWidth="1"/>
    <col min="15108" max="15108" width="15" style="43" customWidth="1"/>
    <col min="15109" max="15109" width="17" style="43" customWidth="1"/>
    <col min="15110" max="15110" width="19" style="43" customWidth="1"/>
    <col min="15111" max="15111" width="15.75" style="43" customWidth="1"/>
    <col min="15112" max="15360" width="9" style="43"/>
    <col min="15361" max="15361" width="12.75" style="43" customWidth="1"/>
    <col min="15362" max="15362" width="20.5" style="43" customWidth="1"/>
    <col min="15363" max="15363" width="24.375" style="43" customWidth="1"/>
    <col min="15364" max="15364" width="15" style="43" customWidth="1"/>
    <col min="15365" max="15365" width="17" style="43" customWidth="1"/>
    <col min="15366" max="15366" width="19" style="43" customWidth="1"/>
    <col min="15367" max="15367" width="15.75" style="43" customWidth="1"/>
    <col min="15368" max="15616" width="9" style="43"/>
    <col min="15617" max="15617" width="12.75" style="43" customWidth="1"/>
    <col min="15618" max="15618" width="20.5" style="43" customWidth="1"/>
    <col min="15619" max="15619" width="24.375" style="43" customWidth="1"/>
    <col min="15620" max="15620" width="15" style="43" customWidth="1"/>
    <col min="15621" max="15621" width="17" style="43" customWidth="1"/>
    <col min="15622" max="15622" width="19" style="43" customWidth="1"/>
    <col min="15623" max="15623" width="15.75" style="43" customWidth="1"/>
    <col min="15624" max="15872" width="9" style="43"/>
    <col min="15873" max="15873" width="12.75" style="43" customWidth="1"/>
    <col min="15874" max="15874" width="20.5" style="43" customWidth="1"/>
    <col min="15875" max="15875" width="24.375" style="43" customWidth="1"/>
    <col min="15876" max="15876" width="15" style="43" customWidth="1"/>
    <col min="15877" max="15877" width="17" style="43" customWidth="1"/>
    <col min="15878" max="15878" width="19" style="43" customWidth="1"/>
    <col min="15879" max="15879" width="15.75" style="43" customWidth="1"/>
    <col min="15880" max="16128" width="9" style="43"/>
    <col min="16129" max="16129" width="12.75" style="43" customWidth="1"/>
    <col min="16130" max="16130" width="20.5" style="43" customWidth="1"/>
    <col min="16131" max="16131" width="24.375" style="43" customWidth="1"/>
    <col min="16132" max="16132" width="15" style="43" customWidth="1"/>
    <col min="16133" max="16133" width="17" style="43" customWidth="1"/>
    <col min="16134" max="16134" width="19" style="43" customWidth="1"/>
    <col min="16135" max="16135" width="15.75" style="43" customWidth="1"/>
    <col min="16136" max="16384" width="9" style="43"/>
  </cols>
  <sheetData>
    <row r="1" spans="1:7">
      <c r="A1" s="771" t="s">
        <v>264</v>
      </c>
      <c r="B1" s="772"/>
      <c r="C1" s="772"/>
      <c r="D1" s="772"/>
      <c r="E1" s="772"/>
      <c r="F1" s="772"/>
      <c r="G1" s="772"/>
    </row>
    <row r="2" spans="1:7">
      <c r="A2" s="771" t="s">
        <v>280</v>
      </c>
      <c r="B2" s="772"/>
      <c r="C2" s="772"/>
      <c r="D2" s="772"/>
      <c r="E2" s="772"/>
      <c r="F2" s="772"/>
      <c r="G2" s="772"/>
    </row>
    <row r="3" spans="1:7">
      <c r="A3" s="771" t="s">
        <v>1008</v>
      </c>
      <c r="B3" s="772"/>
      <c r="C3" s="772"/>
      <c r="D3" s="772"/>
      <c r="E3" s="772"/>
      <c r="F3" s="772"/>
      <c r="G3" s="772"/>
    </row>
    <row r="5" spans="1:7">
      <c r="A5" s="773" t="s">
        <v>65</v>
      </c>
      <c r="B5" s="775" t="s">
        <v>50</v>
      </c>
      <c r="C5" s="775" t="s">
        <v>39</v>
      </c>
      <c r="D5" s="777" t="s">
        <v>66</v>
      </c>
      <c r="E5" s="777" t="s">
        <v>128</v>
      </c>
      <c r="F5" s="777" t="s">
        <v>281</v>
      </c>
      <c r="G5" s="777" t="s">
        <v>35</v>
      </c>
    </row>
    <row r="6" spans="1:7" ht="57" customHeight="1">
      <c r="A6" s="774"/>
      <c r="B6" s="776"/>
      <c r="C6" s="776"/>
      <c r="D6" s="778"/>
      <c r="E6" s="778"/>
      <c r="F6" s="778"/>
      <c r="G6" s="778"/>
    </row>
    <row r="7" spans="1:7">
      <c r="A7" s="50" t="s">
        <v>96</v>
      </c>
      <c r="B7" s="50"/>
      <c r="C7" s="50"/>
      <c r="D7" s="54"/>
      <c r="E7" s="54"/>
      <c r="F7" s="54"/>
      <c r="G7" s="54"/>
    </row>
    <row r="8" spans="1:7">
      <c r="A8" s="52" t="s">
        <v>69</v>
      </c>
      <c r="B8" s="53" t="s">
        <v>268</v>
      </c>
      <c r="C8" s="53" t="s">
        <v>197</v>
      </c>
      <c r="D8" s="54"/>
      <c r="E8" s="54"/>
      <c r="F8" s="54"/>
      <c r="G8" s="54">
        <f t="shared" ref="G8:G16" si="0">SUM(E8:F8)</f>
        <v>0</v>
      </c>
    </row>
    <row r="9" spans="1:7">
      <c r="A9" s="52"/>
      <c r="B9" s="53" t="s">
        <v>269</v>
      </c>
      <c r="C9" s="53" t="s">
        <v>197</v>
      </c>
      <c r="D9" s="54">
        <f>'Sheet3 (โอน)'!D73</f>
        <v>973500</v>
      </c>
      <c r="E9" s="54">
        <f>'Sheet3 (โอน)'!E73</f>
        <v>972840</v>
      </c>
      <c r="F9" s="54"/>
      <c r="G9" s="54">
        <f t="shared" si="0"/>
        <v>972840</v>
      </c>
    </row>
    <row r="10" spans="1:7">
      <c r="A10" s="52" t="s">
        <v>70</v>
      </c>
      <c r="B10" s="53" t="s">
        <v>270</v>
      </c>
      <c r="C10" s="53" t="s">
        <v>197</v>
      </c>
      <c r="D10" s="54">
        <f>'Sheet3 (โอน)'!D123</f>
        <v>42000</v>
      </c>
      <c r="E10" s="54">
        <f>'Sheet3 (โอน)'!E123</f>
        <v>42000</v>
      </c>
      <c r="F10" s="54"/>
      <c r="G10" s="54">
        <f t="shared" si="0"/>
        <v>42000</v>
      </c>
    </row>
    <row r="11" spans="1:7">
      <c r="A11" s="52"/>
      <c r="B11" s="53" t="s">
        <v>271</v>
      </c>
      <c r="C11" s="53" t="s">
        <v>197</v>
      </c>
      <c r="D11" s="54">
        <f>'Sheet3 (โอน)'!D226</f>
        <v>5000</v>
      </c>
      <c r="E11" s="54">
        <v>0</v>
      </c>
      <c r="F11" s="54">
        <v>0</v>
      </c>
      <c r="G11" s="54">
        <f t="shared" si="0"/>
        <v>0</v>
      </c>
    </row>
    <row r="12" spans="1:7">
      <c r="A12" s="52"/>
      <c r="B12" s="53" t="s">
        <v>272</v>
      </c>
      <c r="C12" s="53" t="s">
        <v>197</v>
      </c>
      <c r="D12" s="54">
        <f>'Sheet3 (โอน)'!D295</f>
        <v>0</v>
      </c>
      <c r="E12" s="54">
        <f>'Sheet3 (โอน)'!E295</f>
        <v>0</v>
      </c>
      <c r="F12" s="54"/>
      <c r="G12" s="54">
        <f t="shared" si="0"/>
        <v>0</v>
      </c>
    </row>
    <row r="13" spans="1:7">
      <c r="A13" s="52"/>
      <c r="B13" s="53" t="s">
        <v>74</v>
      </c>
      <c r="C13" s="53" t="s">
        <v>197</v>
      </c>
      <c r="D13" s="54">
        <v>0</v>
      </c>
      <c r="E13" s="54">
        <v>0</v>
      </c>
      <c r="F13" s="54">
        <v>0</v>
      </c>
      <c r="G13" s="54">
        <v>0</v>
      </c>
    </row>
    <row r="14" spans="1:7">
      <c r="A14" s="52" t="s">
        <v>75</v>
      </c>
      <c r="B14" s="53" t="s">
        <v>273</v>
      </c>
      <c r="C14" s="53" t="s">
        <v>197</v>
      </c>
      <c r="D14" s="54">
        <f>'Sheet3 (โอน)'!D353+'Sheet3 (โอน)'!D383+'Sheet3 (โอน)'!D386</f>
        <v>38300</v>
      </c>
      <c r="E14" s="54">
        <f>'Sheet3 (โอน)'!E353+'Sheet3 (โอน)'!E383</f>
        <v>34800</v>
      </c>
      <c r="F14" s="54">
        <f>'Sheet3 (โอน)'!E386</f>
        <v>3500</v>
      </c>
      <c r="G14" s="54">
        <f t="shared" si="0"/>
        <v>38300</v>
      </c>
    </row>
    <row r="15" spans="1:7">
      <c r="A15" s="52"/>
      <c r="B15" s="53" t="s">
        <v>274</v>
      </c>
      <c r="C15" s="53" t="s">
        <v>197</v>
      </c>
      <c r="D15" s="54">
        <v>0</v>
      </c>
      <c r="E15" s="54">
        <v>0</v>
      </c>
      <c r="F15" s="54">
        <v>0</v>
      </c>
      <c r="G15" s="54">
        <v>0</v>
      </c>
    </row>
    <row r="16" spans="1:7">
      <c r="A16" s="52" t="s">
        <v>78</v>
      </c>
      <c r="B16" s="53" t="s">
        <v>79</v>
      </c>
      <c r="C16" s="53" t="s">
        <v>197</v>
      </c>
      <c r="D16" s="54"/>
      <c r="E16" s="54">
        <f>'[2]สรุปรายจ่ายตามงบประมาณ '!E302</f>
        <v>0</v>
      </c>
      <c r="F16" s="54"/>
      <c r="G16" s="54">
        <f t="shared" si="0"/>
        <v>0</v>
      </c>
    </row>
    <row r="17" spans="1:9">
      <c r="A17" s="52" t="s">
        <v>80</v>
      </c>
      <c r="B17" s="53" t="s">
        <v>275</v>
      </c>
      <c r="C17" s="53" t="s">
        <v>197</v>
      </c>
      <c r="D17" s="54">
        <v>0</v>
      </c>
      <c r="E17" s="54"/>
      <c r="F17" s="54"/>
      <c r="G17" s="54"/>
    </row>
    <row r="18" spans="1:9">
      <c r="A18" s="768" t="s">
        <v>35</v>
      </c>
      <c r="B18" s="769"/>
      <c r="C18" s="770"/>
      <c r="D18" s="55">
        <f>SUM(D8:D17)</f>
        <v>1058800</v>
      </c>
      <c r="E18" s="55">
        <f>SUM(E8:E17)</f>
        <v>1049640</v>
      </c>
      <c r="F18" s="55">
        <f>SUM(F8:F17)</f>
        <v>3500</v>
      </c>
      <c r="G18" s="55">
        <f>SUM(G8:G17)</f>
        <v>1053140</v>
      </c>
    </row>
    <row r="20" spans="1:9" s="293" customFormat="1" ht="21">
      <c r="A20" s="293" t="s">
        <v>64</v>
      </c>
      <c r="D20" s="321"/>
      <c r="E20" s="321"/>
      <c r="F20" s="321"/>
      <c r="G20" s="321"/>
      <c r="H20" s="321"/>
      <c r="I20" s="321"/>
    </row>
  </sheetData>
  <mergeCells count="11">
    <mergeCell ref="A18:C18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0.6" right="0.24" top="0.36" bottom="0.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65"/>
  <sheetViews>
    <sheetView workbookViewId="0">
      <selection activeCell="J31" sqref="J31"/>
    </sheetView>
  </sheetViews>
  <sheetFormatPr defaultColWidth="9" defaultRowHeight="24.75"/>
  <cols>
    <col min="1" max="1" width="3" style="289" customWidth="1"/>
    <col min="2" max="2" width="5" style="289" customWidth="1"/>
    <col min="3" max="3" width="41.75" style="287" customWidth="1"/>
    <col min="4" max="4" width="9.625" style="394" customWidth="1"/>
    <col min="5" max="6" width="16.625" style="345" customWidth="1"/>
    <col min="7" max="7" width="18.375" style="344" customWidth="1"/>
    <col min="8" max="8" width="16" style="344" customWidth="1"/>
    <col min="9" max="9" width="8.875" style="344" bestFit="1" customWidth="1"/>
    <col min="10" max="12" width="9" style="344"/>
    <col min="13" max="13" width="10" style="344" customWidth="1"/>
    <col min="14" max="14" width="16.375" style="344" customWidth="1"/>
    <col min="15" max="22" width="9" style="344"/>
    <col min="23" max="23" width="9.125" style="344" customWidth="1"/>
    <col min="24" max="24" width="16" style="344" customWidth="1"/>
    <col min="25" max="16384" width="9" style="344"/>
  </cols>
  <sheetData>
    <row r="1" spans="1:37" ht="21.75" customHeight="1">
      <c r="A1" s="715" t="s">
        <v>1310</v>
      </c>
      <c r="B1" s="715"/>
      <c r="C1" s="715"/>
      <c r="D1" s="715"/>
      <c r="E1" s="715"/>
      <c r="F1" s="382" t="s">
        <v>1264</v>
      </c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695"/>
      <c r="R1" s="695"/>
      <c r="S1" s="695"/>
      <c r="T1" s="695"/>
      <c r="U1" s="695"/>
      <c r="V1" s="695"/>
      <c r="W1" s="695"/>
      <c r="X1" s="695"/>
      <c r="Y1" s="695"/>
      <c r="Z1" s="695"/>
      <c r="AA1" s="396"/>
      <c r="AB1" s="396"/>
      <c r="AC1" s="396"/>
      <c r="AD1" s="396"/>
      <c r="AE1" s="396"/>
      <c r="AF1" s="396"/>
      <c r="AG1" s="396"/>
      <c r="AH1" s="396"/>
      <c r="AI1" s="396"/>
      <c r="AJ1" s="396"/>
      <c r="AK1" s="396"/>
    </row>
    <row r="2" spans="1:37" ht="21.75" customHeight="1">
      <c r="A2" s="716" t="s">
        <v>1304</v>
      </c>
      <c r="B2" s="716"/>
      <c r="C2" s="716"/>
      <c r="D2" s="716"/>
      <c r="E2" s="716"/>
      <c r="F2" s="716"/>
      <c r="G2" s="290"/>
      <c r="P2" s="397"/>
      <c r="Q2" s="397"/>
      <c r="R2" s="396"/>
      <c r="S2" s="396"/>
      <c r="T2" s="396"/>
      <c r="U2" s="396"/>
      <c r="V2" s="396"/>
      <c r="W2" s="396"/>
      <c r="X2" s="396"/>
      <c r="Y2" s="396"/>
      <c r="AA2" s="396"/>
      <c r="AB2" s="396"/>
      <c r="AC2" s="396"/>
      <c r="AD2" s="396"/>
      <c r="AE2" s="396"/>
      <c r="AF2" s="396"/>
      <c r="AG2" s="396"/>
      <c r="AH2" s="396"/>
      <c r="AI2" s="396"/>
      <c r="AJ2" s="396"/>
      <c r="AK2" s="396"/>
    </row>
    <row r="3" spans="1:37" ht="21.75" customHeight="1">
      <c r="A3" s="717" t="s">
        <v>1263</v>
      </c>
      <c r="B3" s="717"/>
      <c r="C3" s="717"/>
      <c r="D3" s="717"/>
      <c r="E3" s="717"/>
      <c r="F3" s="717"/>
      <c r="G3" s="290"/>
      <c r="P3" s="290"/>
      <c r="Q3" s="290"/>
      <c r="AA3" s="396"/>
      <c r="AB3" s="396"/>
      <c r="AC3" s="396"/>
      <c r="AD3" s="396"/>
      <c r="AE3" s="396"/>
      <c r="AF3" s="396"/>
      <c r="AG3" s="396"/>
      <c r="AH3" s="396"/>
      <c r="AI3" s="396"/>
      <c r="AJ3" s="396"/>
      <c r="AK3" s="396"/>
    </row>
    <row r="4" spans="1:37" ht="27.75" customHeight="1">
      <c r="A4" s="718" t="s">
        <v>51</v>
      </c>
      <c r="B4" s="718"/>
      <c r="C4" s="718"/>
      <c r="D4" s="398" t="s">
        <v>688</v>
      </c>
      <c r="E4" s="399" t="s">
        <v>66</v>
      </c>
      <c r="F4" s="400" t="s">
        <v>304</v>
      </c>
      <c r="H4" s="695"/>
      <c r="I4" s="695"/>
      <c r="J4" s="695"/>
      <c r="K4" s="695"/>
      <c r="L4" s="695"/>
      <c r="M4" s="397"/>
      <c r="N4" s="397"/>
      <c r="R4" s="695"/>
      <c r="S4" s="695"/>
      <c r="T4" s="695"/>
      <c r="U4" s="695"/>
      <c r="V4" s="695"/>
      <c r="W4" s="397"/>
      <c r="X4" s="397"/>
      <c r="AA4" s="396"/>
      <c r="AB4" s="396"/>
      <c r="AC4" s="396"/>
      <c r="AD4" s="396"/>
      <c r="AE4" s="396"/>
      <c r="AF4" s="396"/>
      <c r="AG4" s="396"/>
      <c r="AH4" s="396"/>
      <c r="AI4" s="396"/>
      <c r="AJ4" s="396"/>
      <c r="AK4" s="396"/>
    </row>
    <row r="5" spans="1:37" ht="23.25" customHeight="1">
      <c r="A5" s="401" t="s">
        <v>1187</v>
      </c>
      <c r="B5" s="402"/>
      <c r="C5" s="402"/>
      <c r="D5" s="403" t="s">
        <v>1188</v>
      </c>
      <c r="E5" s="404"/>
      <c r="F5" s="404"/>
      <c r="H5" s="396"/>
      <c r="I5" s="396"/>
      <c r="J5" s="396"/>
      <c r="K5" s="396"/>
      <c r="L5" s="396"/>
      <c r="M5" s="405"/>
      <c r="N5" s="406"/>
      <c r="R5" s="396"/>
      <c r="S5" s="396"/>
      <c r="T5" s="396"/>
      <c r="U5" s="396"/>
      <c r="V5" s="396"/>
      <c r="W5" s="405"/>
      <c r="X5" s="406"/>
      <c r="AA5" s="396"/>
      <c r="AB5" s="396"/>
      <c r="AC5" s="396"/>
      <c r="AD5" s="396"/>
      <c r="AE5" s="396"/>
      <c r="AF5" s="396"/>
      <c r="AG5" s="396"/>
      <c r="AH5" s="396"/>
      <c r="AI5" s="396"/>
      <c r="AJ5" s="396"/>
      <c r="AK5" s="396"/>
    </row>
    <row r="6" spans="1:37" ht="23.25" customHeight="1">
      <c r="A6" s="714" t="s">
        <v>1189</v>
      </c>
      <c r="B6" s="714"/>
      <c r="C6" s="714"/>
      <c r="D6" s="403" t="s">
        <v>1190</v>
      </c>
      <c r="E6" s="407"/>
      <c r="F6" s="408"/>
      <c r="H6" s="396"/>
      <c r="I6" s="396"/>
      <c r="J6" s="396"/>
      <c r="K6" s="396"/>
      <c r="L6" s="396"/>
      <c r="M6" s="405"/>
      <c r="N6" s="406"/>
      <c r="R6" s="396"/>
      <c r="S6" s="396"/>
      <c r="T6" s="396"/>
      <c r="U6" s="396"/>
      <c r="V6" s="396"/>
      <c r="W6" s="405"/>
      <c r="X6" s="406"/>
      <c r="AA6" s="396"/>
      <c r="AB6" s="396"/>
      <c r="AC6" s="396"/>
      <c r="AD6" s="396"/>
      <c r="AE6" s="396"/>
      <c r="AF6" s="396"/>
      <c r="AG6" s="396"/>
      <c r="AH6" s="396"/>
      <c r="AI6" s="396"/>
      <c r="AJ6" s="396"/>
      <c r="AK6" s="396"/>
    </row>
    <row r="7" spans="1:37" ht="23.25" customHeight="1">
      <c r="A7" s="383">
        <v>1</v>
      </c>
      <c r="B7" s="686" t="s">
        <v>1191</v>
      </c>
      <c r="C7" s="719"/>
      <c r="D7" s="288" t="s">
        <v>829</v>
      </c>
      <c r="E7" s="54">
        <v>89100</v>
      </c>
      <c r="F7" s="407">
        <v>99117.63</v>
      </c>
      <c r="H7" s="396"/>
      <c r="I7" s="396"/>
      <c r="J7" s="396"/>
      <c r="K7" s="396"/>
      <c r="L7" s="396"/>
      <c r="M7" s="405"/>
      <c r="N7" s="406"/>
      <c r="R7" s="396"/>
      <c r="S7" s="396"/>
      <c r="T7" s="396"/>
      <c r="U7" s="396"/>
      <c r="V7" s="396"/>
      <c r="W7" s="405"/>
      <c r="X7" s="406"/>
      <c r="AA7" s="396"/>
      <c r="AB7" s="396"/>
      <c r="AC7" s="396"/>
      <c r="AD7" s="396"/>
      <c r="AE7" s="396"/>
      <c r="AF7" s="396"/>
      <c r="AG7" s="396"/>
      <c r="AH7" s="396"/>
      <c r="AI7" s="396"/>
      <c r="AJ7" s="396"/>
      <c r="AK7" s="396"/>
    </row>
    <row r="8" spans="1:37" ht="23.25" customHeight="1">
      <c r="A8" s="383">
        <v>2</v>
      </c>
      <c r="B8" s="686" t="s">
        <v>1192</v>
      </c>
      <c r="C8" s="719"/>
      <c r="D8" s="288" t="s">
        <v>831</v>
      </c>
      <c r="E8" s="54">
        <v>240300</v>
      </c>
      <c r="F8" s="407">
        <v>189861.2</v>
      </c>
      <c r="H8" s="396"/>
      <c r="I8" s="396"/>
      <c r="J8" s="396"/>
      <c r="K8" s="396"/>
      <c r="L8" s="396"/>
      <c r="M8" s="405"/>
      <c r="N8" s="406"/>
      <c r="R8" s="396"/>
      <c r="S8" s="396"/>
      <c r="T8" s="396"/>
      <c r="U8" s="396"/>
      <c r="V8" s="396"/>
      <c r="W8" s="405"/>
      <c r="X8" s="406"/>
      <c r="AA8" s="396"/>
      <c r="AB8" s="396"/>
      <c r="AC8" s="397"/>
      <c r="AD8" s="396"/>
      <c r="AE8" s="397"/>
      <c r="AF8" s="396"/>
      <c r="AG8" s="396"/>
      <c r="AH8" s="396"/>
      <c r="AI8" s="396"/>
      <c r="AJ8" s="396"/>
      <c r="AK8" s="396"/>
    </row>
    <row r="9" spans="1:37" ht="23.25" customHeight="1">
      <c r="A9" s="383">
        <v>3</v>
      </c>
      <c r="B9" s="686" t="s">
        <v>1193</v>
      </c>
      <c r="C9" s="719"/>
      <c r="D9" s="288" t="s">
        <v>1194</v>
      </c>
      <c r="E9" s="54">
        <v>16800</v>
      </c>
      <c r="F9" s="407">
        <v>19560</v>
      </c>
      <c r="H9" s="396"/>
      <c r="I9" s="396"/>
      <c r="J9" s="396"/>
      <c r="K9" s="396"/>
      <c r="L9" s="396"/>
      <c r="M9" s="405"/>
      <c r="N9" s="406"/>
      <c r="R9" s="396"/>
      <c r="S9" s="396"/>
      <c r="T9" s="396"/>
      <c r="U9" s="396"/>
      <c r="V9" s="396"/>
      <c r="W9" s="405"/>
      <c r="X9" s="406"/>
      <c r="AA9" s="396"/>
      <c r="AB9" s="396"/>
      <c r="AC9" s="397"/>
      <c r="AD9" s="396"/>
      <c r="AE9" s="397"/>
      <c r="AF9" s="396"/>
      <c r="AG9" s="396"/>
      <c r="AH9" s="396"/>
      <c r="AI9" s="396"/>
      <c r="AJ9" s="396"/>
      <c r="AK9" s="396"/>
    </row>
    <row r="10" spans="1:37" ht="23.25" customHeight="1">
      <c r="A10" s="720" t="s">
        <v>35</v>
      </c>
      <c r="B10" s="720"/>
      <c r="C10" s="700"/>
      <c r="D10" s="409"/>
      <c r="E10" s="60">
        <f>SUM(E7:E9)</f>
        <v>346200</v>
      </c>
      <c r="F10" s="400">
        <f>SUM(F7:F9)</f>
        <v>308538.83</v>
      </c>
      <c r="H10" s="396"/>
      <c r="I10" s="396"/>
      <c r="J10" s="396"/>
      <c r="K10" s="396"/>
      <c r="L10" s="396"/>
      <c r="M10" s="405"/>
      <c r="N10" s="406"/>
      <c r="R10" s="396"/>
      <c r="S10" s="396"/>
      <c r="T10" s="396"/>
      <c r="U10" s="396"/>
      <c r="V10" s="396"/>
      <c r="W10" s="405"/>
      <c r="X10" s="406"/>
      <c r="AA10" s="396"/>
      <c r="AB10" s="396"/>
      <c r="AC10" s="396"/>
      <c r="AD10" s="396"/>
      <c r="AE10" s="396"/>
      <c r="AF10" s="396"/>
      <c r="AG10" s="396"/>
      <c r="AH10" s="396"/>
      <c r="AI10" s="396"/>
      <c r="AJ10" s="396"/>
      <c r="AK10" s="396"/>
    </row>
    <row r="11" spans="1:37" ht="23.25" customHeight="1">
      <c r="A11" s="714" t="s">
        <v>1195</v>
      </c>
      <c r="B11" s="714"/>
      <c r="C11" s="709"/>
      <c r="D11" s="410" t="s">
        <v>1196</v>
      </c>
      <c r="E11" s="54"/>
      <c r="F11" s="407"/>
      <c r="H11" s="396"/>
      <c r="I11" s="396"/>
      <c r="J11" s="396"/>
      <c r="K11" s="396"/>
      <c r="L11" s="396"/>
      <c r="M11" s="405"/>
      <c r="N11" s="406"/>
      <c r="R11" s="396"/>
      <c r="S11" s="396"/>
      <c r="T11" s="396"/>
      <c r="U11" s="396"/>
      <c r="V11" s="396"/>
      <c r="W11" s="405"/>
      <c r="X11" s="406"/>
      <c r="AA11" s="396"/>
      <c r="AB11" s="396"/>
      <c r="AC11" s="396"/>
      <c r="AD11" s="396"/>
      <c r="AE11" s="396"/>
      <c r="AF11" s="396"/>
      <c r="AG11" s="396"/>
      <c r="AH11" s="396"/>
      <c r="AI11" s="396"/>
      <c r="AJ11" s="396"/>
      <c r="AK11" s="396"/>
    </row>
    <row r="12" spans="1:37" ht="23.25" customHeight="1">
      <c r="A12" s="383">
        <v>1</v>
      </c>
      <c r="B12" s="696" t="s">
        <v>1197</v>
      </c>
      <c r="C12" s="696"/>
      <c r="D12" s="288" t="s">
        <v>835</v>
      </c>
      <c r="E12" s="54">
        <v>100</v>
      </c>
      <c r="F12" s="407">
        <v>20</v>
      </c>
      <c r="H12" s="396"/>
      <c r="I12" s="396"/>
      <c r="J12" s="396"/>
      <c r="K12" s="396"/>
      <c r="L12" s="396"/>
      <c r="M12" s="405"/>
      <c r="N12" s="406"/>
      <c r="R12" s="396"/>
      <c r="S12" s="396"/>
      <c r="T12" s="396"/>
      <c r="U12" s="396"/>
      <c r="V12" s="396"/>
      <c r="W12" s="405"/>
      <c r="X12" s="406"/>
      <c r="AA12" s="396"/>
      <c r="AB12" s="396"/>
      <c r="AC12" s="396"/>
      <c r="AD12" s="396"/>
      <c r="AE12" s="396"/>
      <c r="AF12" s="396"/>
      <c r="AG12" s="396"/>
      <c r="AH12" s="396"/>
      <c r="AI12" s="396"/>
      <c r="AJ12" s="396"/>
      <c r="AK12" s="396"/>
    </row>
    <row r="13" spans="1:37">
      <c r="A13" s="383">
        <v>2</v>
      </c>
      <c r="B13" s="696" t="s">
        <v>1198</v>
      </c>
      <c r="C13" s="696"/>
      <c r="D13" s="288" t="s">
        <v>836</v>
      </c>
      <c r="E13" s="54">
        <v>4000</v>
      </c>
      <c r="F13" s="54">
        <v>4363</v>
      </c>
    </row>
    <row r="14" spans="1:37" ht="23.25" customHeight="1">
      <c r="A14" s="383">
        <v>3</v>
      </c>
      <c r="B14" s="412" t="s">
        <v>1199</v>
      </c>
      <c r="C14" s="413"/>
      <c r="D14" s="288" t="s">
        <v>837</v>
      </c>
      <c r="E14" s="54">
        <v>145100</v>
      </c>
      <c r="F14" s="407">
        <v>143795</v>
      </c>
      <c r="H14" s="396"/>
      <c r="I14" s="396"/>
      <c r="J14" s="396"/>
      <c r="K14" s="396"/>
      <c r="L14" s="396"/>
      <c r="M14" s="405"/>
      <c r="N14" s="406"/>
      <c r="R14" s="396"/>
      <c r="S14" s="396"/>
      <c r="T14" s="396"/>
      <c r="U14" s="396"/>
      <c r="V14" s="396"/>
      <c r="W14" s="405"/>
      <c r="X14" s="406"/>
      <c r="AA14" s="396"/>
      <c r="AB14" s="396"/>
      <c r="AC14" s="396"/>
      <c r="AD14" s="396"/>
      <c r="AE14" s="396"/>
      <c r="AF14" s="396"/>
      <c r="AG14" s="396"/>
      <c r="AH14" s="396"/>
      <c r="AI14" s="396"/>
      <c r="AJ14" s="396"/>
      <c r="AK14" s="396"/>
    </row>
    <row r="15" spans="1:37" ht="23.25" customHeight="1">
      <c r="A15" s="383">
        <v>4</v>
      </c>
      <c r="B15" s="414" t="s">
        <v>1200</v>
      </c>
      <c r="C15" s="414"/>
      <c r="D15" s="288" t="s">
        <v>838</v>
      </c>
      <c r="E15" s="54">
        <v>600</v>
      </c>
      <c r="F15" s="407">
        <v>500</v>
      </c>
      <c r="H15" s="396"/>
      <c r="I15" s="414"/>
      <c r="J15" s="414"/>
      <c r="K15" s="396"/>
      <c r="L15" s="396"/>
      <c r="M15" s="405"/>
      <c r="N15" s="406"/>
      <c r="R15" s="396"/>
      <c r="S15" s="396"/>
      <c r="T15" s="396"/>
      <c r="U15" s="396"/>
      <c r="V15" s="396"/>
      <c r="W15" s="405"/>
      <c r="X15" s="406"/>
      <c r="AA15" s="396"/>
      <c r="AB15" s="396"/>
      <c r="AC15" s="396"/>
      <c r="AD15" s="396"/>
      <c r="AE15" s="396"/>
      <c r="AF15" s="396"/>
      <c r="AG15" s="396"/>
      <c r="AH15" s="396"/>
      <c r="AI15" s="396"/>
      <c r="AJ15" s="396"/>
      <c r="AK15" s="396"/>
    </row>
    <row r="16" spans="1:37">
      <c r="A16" s="383">
        <v>5</v>
      </c>
      <c r="B16" s="696" t="s">
        <v>1201</v>
      </c>
      <c r="C16" s="696"/>
      <c r="D16" s="288" t="s">
        <v>1202</v>
      </c>
      <c r="E16" s="54">
        <v>9000</v>
      </c>
      <c r="F16" s="54">
        <v>0</v>
      </c>
    </row>
    <row r="17" spans="1:37" ht="23.25" customHeight="1">
      <c r="A17" s="383">
        <v>6</v>
      </c>
      <c r="B17" s="696" t="s">
        <v>1203</v>
      </c>
      <c r="C17" s="696"/>
      <c r="D17" s="288" t="s">
        <v>1204</v>
      </c>
      <c r="E17" s="54">
        <v>1600</v>
      </c>
      <c r="F17" s="407">
        <v>900</v>
      </c>
      <c r="H17" s="396"/>
      <c r="I17" s="396"/>
      <c r="J17" s="396"/>
      <c r="K17" s="396"/>
      <c r="L17" s="396"/>
      <c r="M17" s="405"/>
      <c r="N17" s="406"/>
      <c r="R17" s="396"/>
      <c r="S17" s="396"/>
      <c r="T17" s="396"/>
      <c r="U17" s="396"/>
      <c r="V17" s="396"/>
      <c r="W17" s="405"/>
      <c r="X17" s="406"/>
      <c r="AA17" s="396"/>
      <c r="AB17" s="396"/>
      <c r="AC17" s="396"/>
      <c r="AD17" s="396"/>
      <c r="AE17" s="396"/>
      <c r="AF17" s="396"/>
      <c r="AG17" s="396"/>
      <c r="AH17" s="396"/>
      <c r="AI17" s="396"/>
      <c r="AJ17" s="396"/>
      <c r="AK17" s="396"/>
    </row>
    <row r="18" spans="1:37" ht="23.25" customHeight="1">
      <c r="A18" s="383">
        <v>7</v>
      </c>
      <c r="B18" s="412" t="s">
        <v>1205</v>
      </c>
      <c r="C18" s="413"/>
      <c r="D18" s="288" t="s">
        <v>841</v>
      </c>
      <c r="E18" s="54">
        <v>80500</v>
      </c>
      <c r="F18" s="407">
        <v>19279</v>
      </c>
      <c r="H18" s="396"/>
      <c r="I18" s="396"/>
      <c r="J18" s="396"/>
      <c r="K18" s="396"/>
      <c r="L18" s="396"/>
      <c r="M18" s="405"/>
      <c r="N18" s="406"/>
      <c r="R18" s="396"/>
      <c r="S18" s="396"/>
      <c r="T18" s="396"/>
      <c r="U18" s="396"/>
      <c r="V18" s="396"/>
      <c r="W18" s="405"/>
      <c r="X18" s="406"/>
      <c r="AA18" s="396"/>
      <c r="AB18" s="396"/>
      <c r="AC18" s="396"/>
      <c r="AD18" s="396"/>
      <c r="AE18" s="396"/>
      <c r="AF18" s="396"/>
      <c r="AG18" s="396"/>
      <c r="AH18" s="396"/>
      <c r="AI18" s="396"/>
      <c r="AJ18" s="396"/>
      <c r="AK18" s="396"/>
    </row>
    <row r="19" spans="1:37" ht="23.25" customHeight="1">
      <c r="A19" s="383">
        <v>8</v>
      </c>
      <c r="B19" s="712" t="s">
        <v>1206</v>
      </c>
      <c r="C19" s="712"/>
      <c r="D19" s="288" t="s">
        <v>1207</v>
      </c>
      <c r="E19" s="54">
        <v>4800</v>
      </c>
      <c r="F19" s="407">
        <v>0</v>
      </c>
      <c r="H19" s="396"/>
      <c r="I19" s="396"/>
      <c r="J19" s="396"/>
      <c r="K19" s="396"/>
      <c r="L19" s="396"/>
      <c r="M19" s="405"/>
      <c r="N19" s="406"/>
      <c r="R19" s="396"/>
      <c r="S19" s="396"/>
      <c r="T19" s="396"/>
      <c r="U19" s="396"/>
      <c r="V19" s="396"/>
      <c r="W19" s="405"/>
      <c r="X19" s="406"/>
      <c r="AA19" s="396"/>
      <c r="AB19" s="396"/>
      <c r="AC19" s="396"/>
      <c r="AD19" s="396"/>
      <c r="AE19" s="396"/>
      <c r="AF19" s="396"/>
      <c r="AG19" s="396"/>
      <c r="AH19" s="396"/>
      <c r="AI19" s="396"/>
      <c r="AJ19" s="396"/>
      <c r="AK19" s="396"/>
    </row>
    <row r="20" spans="1:37" ht="23.25" customHeight="1">
      <c r="A20" s="383">
        <v>9</v>
      </c>
      <c r="B20" s="713" t="s">
        <v>1208</v>
      </c>
      <c r="C20" s="713"/>
      <c r="D20" s="288" t="s">
        <v>842</v>
      </c>
      <c r="E20" s="54">
        <v>35200</v>
      </c>
      <c r="F20" s="407">
        <v>39100</v>
      </c>
      <c r="H20" s="396"/>
      <c r="I20" s="696"/>
      <c r="J20" s="696"/>
      <c r="K20" s="396"/>
      <c r="L20" s="396"/>
      <c r="M20" s="405"/>
      <c r="N20" s="406"/>
      <c r="R20" s="396"/>
      <c r="S20" s="396"/>
      <c r="T20" s="396"/>
      <c r="U20" s="396"/>
      <c r="V20" s="396"/>
      <c r="W20" s="405"/>
      <c r="X20" s="406"/>
      <c r="AA20" s="396"/>
      <c r="AB20" s="396"/>
      <c r="AC20" s="396"/>
      <c r="AD20" s="396"/>
      <c r="AE20" s="396"/>
      <c r="AF20" s="396"/>
      <c r="AG20" s="396"/>
      <c r="AH20" s="396"/>
      <c r="AI20" s="396"/>
      <c r="AJ20" s="396"/>
      <c r="AK20" s="396"/>
    </row>
    <row r="21" spans="1:37">
      <c r="A21" s="383">
        <v>10</v>
      </c>
      <c r="B21" s="696" t="s">
        <v>1209</v>
      </c>
      <c r="C21" s="696"/>
      <c r="D21" s="288" t="s">
        <v>1210</v>
      </c>
      <c r="E21" s="54">
        <v>8500</v>
      </c>
      <c r="F21" s="407">
        <v>0</v>
      </c>
    </row>
    <row r="22" spans="1:37">
      <c r="A22" s="383">
        <v>11</v>
      </c>
      <c r="B22" s="696" t="s">
        <v>1211</v>
      </c>
      <c r="C22" s="696"/>
      <c r="D22" s="288" t="s">
        <v>834</v>
      </c>
      <c r="E22" s="54">
        <v>0</v>
      </c>
      <c r="F22" s="407">
        <v>1746</v>
      </c>
    </row>
    <row r="23" spans="1:37" ht="23.25" customHeight="1">
      <c r="A23" s="700" t="s">
        <v>35</v>
      </c>
      <c r="B23" s="695"/>
      <c r="C23" s="695"/>
      <c r="D23" s="409"/>
      <c r="E23" s="60">
        <f>SUM(E12:E21)</f>
        <v>289400</v>
      </c>
      <c r="F23" s="400">
        <f>SUM(F12:F22)</f>
        <v>209703</v>
      </c>
      <c r="H23" s="396"/>
      <c r="I23" s="396"/>
      <c r="J23" s="396"/>
      <c r="K23" s="396"/>
      <c r="L23" s="396"/>
      <c r="M23" s="405"/>
      <c r="N23" s="406"/>
      <c r="R23" s="396"/>
      <c r="S23" s="396"/>
      <c r="T23" s="396"/>
      <c r="U23" s="396"/>
      <c r="V23" s="396"/>
      <c r="W23" s="405"/>
      <c r="X23" s="406"/>
      <c r="AA23" s="396"/>
      <c r="AB23" s="396"/>
      <c r="AC23" s="396"/>
      <c r="AD23" s="396"/>
      <c r="AE23" s="396"/>
      <c r="AF23" s="396"/>
      <c r="AG23" s="396"/>
      <c r="AH23" s="396"/>
      <c r="AI23" s="396"/>
      <c r="AJ23" s="396"/>
      <c r="AK23" s="396"/>
    </row>
    <row r="24" spans="1:37" ht="23.25" customHeight="1">
      <c r="A24" s="709" t="s">
        <v>1212</v>
      </c>
      <c r="B24" s="710"/>
      <c r="C24" s="711"/>
      <c r="D24" s="410" t="s">
        <v>1213</v>
      </c>
      <c r="E24" s="54"/>
      <c r="F24" s="407"/>
      <c r="H24" s="396"/>
      <c r="I24" s="396"/>
      <c r="J24" s="396"/>
      <c r="K24" s="396"/>
      <c r="L24" s="396"/>
      <c r="M24" s="405"/>
      <c r="N24" s="406"/>
      <c r="R24" s="396"/>
      <c r="S24" s="396"/>
      <c r="T24" s="396"/>
      <c r="U24" s="396"/>
      <c r="V24" s="396"/>
      <c r="W24" s="405"/>
      <c r="X24" s="406"/>
      <c r="AA24" s="396"/>
      <c r="AB24" s="396"/>
      <c r="AC24" s="396"/>
      <c r="AD24" s="396"/>
      <c r="AE24" s="396"/>
      <c r="AF24" s="396"/>
      <c r="AG24" s="397"/>
      <c r="AH24" s="396"/>
      <c r="AI24" s="396"/>
      <c r="AJ24" s="396"/>
      <c r="AK24" s="396"/>
    </row>
    <row r="25" spans="1:37" ht="23.25" customHeight="1">
      <c r="A25" s="383">
        <v>1</v>
      </c>
      <c r="B25" s="696" t="s">
        <v>1214</v>
      </c>
      <c r="C25" s="686"/>
      <c r="D25" s="415" t="s">
        <v>843</v>
      </c>
      <c r="E25" s="54">
        <v>161000</v>
      </c>
      <c r="F25" s="407">
        <v>215707.94</v>
      </c>
      <c r="H25" s="396"/>
      <c r="I25" s="396"/>
      <c r="J25" s="396"/>
      <c r="K25" s="396"/>
      <c r="L25" s="396"/>
      <c r="M25" s="405"/>
      <c r="N25" s="406"/>
      <c r="R25" s="396"/>
      <c r="S25" s="396"/>
      <c r="T25" s="396"/>
      <c r="U25" s="396"/>
      <c r="V25" s="396"/>
      <c r="W25" s="405"/>
      <c r="X25" s="406"/>
      <c r="AA25" s="396"/>
      <c r="AB25" s="396"/>
      <c r="AC25" s="396"/>
      <c r="AD25" s="396"/>
      <c r="AE25" s="396"/>
      <c r="AF25" s="396"/>
      <c r="AG25" s="397"/>
      <c r="AH25" s="396"/>
      <c r="AI25" s="396"/>
      <c r="AJ25" s="396"/>
      <c r="AK25" s="396"/>
    </row>
    <row r="26" spans="1:37" ht="23.25" customHeight="1">
      <c r="A26" s="700" t="s">
        <v>35</v>
      </c>
      <c r="B26" s="695"/>
      <c r="C26" s="701"/>
      <c r="D26" s="416"/>
      <c r="E26" s="60">
        <f>SUM(E25:E25)</f>
        <v>161000</v>
      </c>
      <c r="F26" s="400">
        <f>SUM(F25:F25)</f>
        <v>215707.94</v>
      </c>
      <c r="H26" s="396"/>
      <c r="I26" s="396"/>
      <c r="J26" s="396"/>
      <c r="K26" s="396"/>
      <c r="L26" s="396"/>
      <c r="M26" s="405"/>
      <c r="N26" s="406"/>
      <c r="R26" s="396"/>
      <c r="S26" s="396"/>
      <c r="T26" s="396"/>
      <c r="U26" s="396"/>
      <c r="V26" s="396"/>
      <c r="W26" s="405"/>
      <c r="X26" s="406"/>
      <c r="AA26" s="396"/>
      <c r="AB26" s="396"/>
      <c r="AC26" s="396"/>
      <c r="AD26" s="396"/>
      <c r="AE26" s="396"/>
      <c r="AF26" s="396"/>
      <c r="AG26" s="397"/>
      <c r="AH26" s="396"/>
      <c r="AI26" s="396"/>
      <c r="AJ26" s="396"/>
      <c r="AK26" s="396"/>
    </row>
    <row r="27" spans="1:37" ht="23.25" customHeight="1">
      <c r="A27" s="709" t="s">
        <v>1215</v>
      </c>
      <c r="B27" s="710"/>
      <c r="C27" s="711"/>
      <c r="D27" s="410" t="s">
        <v>1216</v>
      </c>
      <c r="E27" s="54"/>
      <c r="F27" s="407"/>
      <c r="H27" s="396"/>
      <c r="I27" s="396"/>
      <c r="J27" s="396"/>
      <c r="K27" s="396"/>
      <c r="L27" s="396"/>
      <c r="M27" s="405"/>
      <c r="N27" s="406"/>
      <c r="R27" s="396"/>
      <c r="S27" s="396"/>
      <c r="T27" s="396"/>
      <c r="U27" s="396"/>
      <c r="V27" s="396"/>
      <c r="W27" s="405"/>
      <c r="X27" s="406"/>
      <c r="AA27" s="396"/>
      <c r="AB27" s="396"/>
      <c r="AC27" s="396"/>
      <c r="AD27" s="396"/>
      <c r="AE27" s="417"/>
      <c r="AF27" s="417"/>
      <c r="AG27" s="396"/>
      <c r="AH27" s="396"/>
      <c r="AI27" s="396"/>
      <c r="AJ27" s="396"/>
      <c r="AK27" s="396"/>
    </row>
    <row r="28" spans="1:37" ht="23.25" customHeight="1">
      <c r="A28" s="383">
        <v>1</v>
      </c>
      <c r="B28" s="696" t="s">
        <v>1217</v>
      </c>
      <c r="C28" s="686"/>
      <c r="D28" s="415" t="s">
        <v>1218</v>
      </c>
      <c r="E28" s="54">
        <v>17000</v>
      </c>
      <c r="F28" s="407">
        <v>0</v>
      </c>
      <c r="H28" s="396"/>
      <c r="I28" s="396"/>
      <c r="J28" s="396"/>
      <c r="K28" s="396"/>
      <c r="L28" s="396"/>
      <c r="M28" s="405"/>
      <c r="N28" s="406"/>
      <c r="R28" s="396"/>
      <c r="S28" s="396"/>
      <c r="T28" s="396"/>
      <c r="U28" s="396"/>
      <c r="V28" s="396"/>
      <c r="W28" s="405"/>
      <c r="X28" s="40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6"/>
      <c r="AK28" s="396"/>
    </row>
    <row r="29" spans="1:37" ht="23.25" customHeight="1">
      <c r="A29" s="383">
        <v>2</v>
      </c>
      <c r="B29" s="696" t="s">
        <v>1219</v>
      </c>
      <c r="C29" s="686"/>
      <c r="D29" s="415" t="s">
        <v>1220</v>
      </c>
      <c r="E29" s="54">
        <v>3800</v>
      </c>
      <c r="F29" s="407">
        <v>2272</v>
      </c>
      <c r="H29" s="396"/>
      <c r="I29" s="396"/>
      <c r="J29" s="396"/>
      <c r="K29" s="396"/>
      <c r="L29" s="396"/>
      <c r="M29" s="405"/>
      <c r="N29" s="406"/>
      <c r="R29" s="396"/>
      <c r="S29" s="396"/>
      <c r="T29" s="396"/>
      <c r="U29" s="396"/>
      <c r="V29" s="396"/>
      <c r="W29" s="405"/>
      <c r="X29" s="406"/>
      <c r="AA29" s="396"/>
      <c r="AB29" s="396"/>
      <c r="AC29" s="396"/>
      <c r="AD29" s="396"/>
      <c r="AE29" s="396"/>
      <c r="AF29" s="396"/>
      <c r="AG29" s="396"/>
      <c r="AH29" s="396"/>
      <c r="AI29" s="396"/>
      <c r="AJ29" s="396"/>
      <c r="AK29" s="396"/>
    </row>
    <row r="30" spans="1:37" ht="23.25" customHeight="1">
      <c r="A30" s="700" t="s">
        <v>35</v>
      </c>
      <c r="B30" s="695"/>
      <c r="C30" s="701"/>
      <c r="D30" s="418"/>
      <c r="E30" s="60">
        <f>SUM(E28:E29)</f>
        <v>20800</v>
      </c>
      <c r="F30" s="400">
        <f>SUM(F28:F29)</f>
        <v>2272</v>
      </c>
      <c r="H30" s="396"/>
      <c r="I30" s="396"/>
      <c r="J30" s="396"/>
      <c r="K30" s="396"/>
      <c r="L30" s="396"/>
      <c r="M30" s="405"/>
      <c r="N30" s="406"/>
      <c r="R30" s="396"/>
      <c r="S30" s="396"/>
      <c r="T30" s="396"/>
      <c r="U30" s="396"/>
      <c r="V30" s="396"/>
      <c r="W30" s="405"/>
      <c r="X30" s="40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6"/>
      <c r="AK30" s="396"/>
    </row>
    <row r="31" spans="1:37" ht="23.25" customHeight="1">
      <c r="A31" s="709" t="s">
        <v>1221</v>
      </c>
      <c r="B31" s="710"/>
      <c r="C31" s="711"/>
      <c r="D31" s="410" t="s">
        <v>1222</v>
      </c>
      <c r="E31" s="54"/>
      <c r="F31" s="407"/>
      <c r="H31" s="396"/>
      <c r="I31" s="396"/>
      <c r="J31" s="396"/>
      <c r="K31" s="396"/>
      <c r="L31" s="396"/>
      <c r="M31" s="405"/>
      <c r="N31" s="406"/>
      <c r="R31" s="396"/>
      <c r="S31" s="396"/>
      <c r="T31" s="396"/>
      <c r="U31" s="396"/>
      <c r="V31" s="396"/>
      <c r="W31" s="405"/>
      <c r="X31" s="406"/>
      <c r="AA31" s="396"/>
      <c r="AB31" s="396"/>
      <c r="AC31" s="396"/>
      <c r="AD31" s="396"/>
      <c r="AE31" s="396"/>
      <c r="AF31" s="396"/>
      <c r="AG31" s="397"/>
      <c r="AH31" s="396"/>
      <c r="AI31" s="396"/>
      <c r="AJ31" s="396"/>
      <c r="AK31" s="396"/>
    </row>
    <row r="32" spans="1:37" ht="23.25" customHeight="1">
      <c r="A32" s="383">
        <v>1</v>
      </c>
      <c r="B32" s="696" t="s">
        <v>1223</v>
      </c>
      <c r="C32" s="686"/>
      <c r="D32" s="288" t="s">
        <v>1224</v>
      </c>
      <c r="E32" s="54">
        <v>6000</v>
      </c>
      <c r="F32" s="407">
        <v>0</v>
      </c>
      <c r="H32" s="396"/>
      <c r="I32" s="396"/>
      <c r="J32" s="396"/>
      <c r="K32" s="396"/>
      <c r="L32" s="396"/>
      <c r="M32" s="405"/>
      <c r="N32" s="406"/>
      <c r="R32" s="396"/>
      <c r="S32" s="396"/>
      <c r="T32" s="396"/>
      <c r="U32" s="396"/>
      <c r="V32" s="396"/>
      <c r="W32" s="405"/>
      <c r="X32" s="406"/>
      <c r="AA32" s="396"/>
      <c r="AB32" s="396"/>
      <c r="AC32" s="396"/>
      <c r="AD32" s="396"/>
      <c r="AE32" s="396"/>
      <c r="AF32" s="396"/>
      <c r="AG32" s="397"/>
      <c r="AH32" s="396"/>
      <c r="AI32" s="396"/>
      <c r="AJ32" s="396"/>
      <c r="AK32" s="396"/>
    </row>
    <row r="33" spans="1:37" ht="23.25" customHeight="1">
      <c r="A33" s="700" t="s">
        <v>35</v>
      </c>
      <c r="B33" s="695"/>
      <c r="C33" s="701"/>
      <c r="D33" s="409"/>
      <c r="E33" s="60">
        <f>SUM(E32:E32)</f>
        <v>6000</v>
      </c>
      <c r="F33" s="400">
        <f>SUM(F32:F32)</f>
        <v>0</v>
      </c>
      <c r="H33" s="396"/>
      <c r="I33" s="396"/>
      <c r="J33" s="396"/>
      <c r="K33" s="396"/>
      <c r="L33" s="396"/>
      <c r="M33" s="405"/>
      <c r="N33" s="406"/>
      <c r="R33" s="396"/>
      <c r="S33" s="396"/>
      <c r="T33" s="396"/>
      <c r="U33" s="396"/>
      <c r="V33" s="396"/>
      <c r="W33" s="405"/>
      <c r="X33" s="406"/>
      <c r="AA33" s="396"/>
      <c r="AB33" s="396"/>
      <c r="AC33" s="396"/>
      <c r="AD33" s="396"/>
      <c r="AE33" s="396"/>
      <c r="AF33" s="396"/>
      <c r="AG33" s="397"/>
      <c r="AH33" s="396"/>
      <c r="AI33" s="396"/>
      <c r="AJ33" s="396"/>
      <c r="AK33" s="396"/>
    </row>
    <row r="34" spans="1:37" ht="23.25" customHeight="1">
      <c r="A34" s="419"/>
      <c r="B34" s="397"/>
      <c r="C34" s="286"/>
      <c r="D34" s="409"/>
      <c r="E34" s="420"/>
      <c r="F34" s="421"/>
      <c r="H34" s="396"/>
      <c r="I34" s="396"/>
      <c r="J34" s="396"/>
      <c r="K34" s="396"/>
      <c r="L34" s="396"/>
      <c r="M34" s="405"/>
      <c r="N34" s="406"/>
      <c r="R34" s="396"/>
      <c r="S34" s="396"/>
      <c r="T34" s="396"/>
      <c r="U34" s="396"/>
      <c r="V34" s="396"/>
      <c r="W34" s="405"/>
      <c r="X34" s="406"/>
      <c r="AA34" s="396"/>
      <c r="AB34" s="396"/>
      <c r="AC34" s="396"/>
      <c r="AD34" s="396"/>
      <c r="AE34" s="396"/>
      <c r="AF34" s="396"/>
      <c r="AG34" s="397"/>
      <c r="AH34" s="396"/>
      <c r="AI34" s="396"/>
      <c r="AJ34" s="396"/>
      <c r="AK34" s="396"/>
    </row>
    <row r="35" spans="1:37" ht="23.25" customHeight="1">
      <c r="A35" s="422" t="s">
        <v>1225</v>
      </c>
      <c r="B35" s="395"/>
      <c r="C35" s="423"/>
      <c r="D35" s="410" t="s">
        <v>1226</v>
      </c>
      <c r="E35" s="416"/>
      <c r="F35" s="416"/>
      <c r="H35" s="396"/>
      <c r="I35" s="396"/>
      <c r="J35" s="396"/>
      <c r="K35" s="396"/>
      <c r="L35" s="396"/>
      <c r="M35" s="405"/>
      <c r="N35" s="406"/>
      <c r="R35" s="396"/>
      <c r="S35" s="396"/>
      <c r="T35" s="396"/>
      <c r="U35" s="396"/>
      <c r="V35" s="396"/>
      <c r="W35" s="405"/>
      <c r="X35" s="406"/>
      <c r="AA35" s="396"/>
      <c r="AB35" s="396"/>
      <c r="AC35" s="396"/>
      <c r="AD35" s="396"/>
      <c r="AE35" s="396"/>
      <c r="AF35" s="397"/>
      <c r="AG35" s="396"/>
      <c r="AH35" s="396"/>
      <c r="AI35" s="396"/>
      <c r="AJ35" s="396"/>
      <c r="AK35" s="396"/>
    </row>
    <row r="36" spans="1:37" ht="23.25" customHeight="1">
      <c r="A36" s="709" t="s">
        <v>1227</v>
      </c>
      <c r="B36" s="710"/>
      <c r="C36" s="711"/>
      <c r="D36" s="410" t="s">
        <v>1228</v>
      </c>
      <c r="E36" s="54"/>
      <c r="F36" s="407"/>
      <c r="H36" s="396"/>
      <c r="I36" s="396"/>
      <c r="J36" s="396"/>
      <c r="K36" s="396"/>
      <c r="L36" s="396"/>
      <c r="M36" s="405"/>
      <c r="N36" s="406"/>
      <c r="R36" s="695"/>
      <c r="S36" s="695"/>
      <c r="T36" s="695"/>
      <c r="U36" s="695"/>
      <c r="V36" s="695"/>
      <c r="W36" s="424"/>
      <c r="X36" s="406"/>
      <c r="AA36" s="396"/>
      <c r="AB36" s="396"/>
      <c r="AC36" s="695"/>
      <c r="AD36" s="695"/>
      <c r="AE36" s="695"/>
      <c r="AF36" s="695"/>
      <c r="AG36" s="695"/>
      <c r="AH36" s="695"/>
      <c r="AI36" s="695"/>
      <c r="AJ36" s="396"/>
      <c r="AK36" s="396"/>
    </row>
    <row r="37" spans="1:37" ht="23.25" customHeight="1">
      <c r="A37" s="383">
        <v>1</v>
      </c>
      <c r="B37" s="414" t="s">
        <v>1229</v>
      </c>
      <c r="C37" s="425"/>
      <c r="D37" s="288" t="s">
        <v>1230</v>
      </c>
      <c r="E37" s="54">
        <v>311000</v>
      </c>
      <c r="F37" s="407">
        <v>337969.51</v>
      </c>
      <c r="H37" s="396"/>
      <c r="I37" s="396"/>
      <c r="J37" s="396"/>
      <c r="K37" s="396"/>
      <c r="L37" s="396"/>
      <c r="M37" s="405"/>
      <c r="N37" s="406"/>
      <c r="R37" s="397"/>
      <c r="S37" s="397"/>
      <c r="T37" s="397"/>
      <c r="U37" s="397"/>
      <c r="V37" s="397"/>
      <c r="W37" s="424"/>
      <c r="X37" s="406"/>
      <c r="AA37" s="396"/>
      <c r="AB37" s="396"/>
      <c r="AC37" s="397"/>
      <c r="AD37" s="397"/>
      <c r="AE37" s="397"/>
      <c r="AF37" s="397"/>
      <c r="AG37" s="397"/>
      <c r="AH37" s="397"/>
      <c r="AI37" s="397"/>
      <c r="AJ37" s="396"/>
      <c r="AK37" s="396"/>
    </row>
    <row r="38" spans="1:37" ht="23.25" customHeight="1">
      <c r="A38" s="383">
        <v>2</v>
      </c>
      <c r="B38" s="696" t="s">
        <v>1231</v>
      </c>
      <c r="C38" s="686"/>
      <c r="D38" s="288" t="s">
        <v>1232</v>
      </c>
      <c r="E38" s="54">
        <v>8716200</v>
      </c>
      <c r="F38" s="407">
        <v>9417642.8499999996</v>
      </c>
      <c r="H38" s="396"/>
      <c r="I38" s="396"/>
      <c r="J38" s="396"/>
      <c r="K38" s="396"/>
      <c r="L38" s="396"/>
      <c r="M38" s="405"/>
      <c r="N38" s="406"/>
      <c r="R38" s="397"/>
      <c r="S38" s="397"/>
      <c r="T38" s="397"/>
      <c r="U38" s="397"/>
      <c r="V38" s="397"/>
      <c r="W38" s="424"/>
      <c r="X38" s="406"/>
      <c r="AA38" s="396"/>
      <c r="AB38" s="396"/>
      <c r="AC38" s="695"/>
      <c r="AD38" s="695"/>
      <c r="AE38" s="695"/>
      <c r="AF38" s="695"/>
      <c r="AG38" s="695"/>
      <c r="AH38" s="695"/>
      <c r="AI38" s="695"/>
      <c r="AJ38" s="396"/>
      <c r="AK38" s="396"/>
    </row>
    <row r="39" spans="1:37" ht="23.25" customHeight="1">
      <c r="A39" s="383">
        <v>3</v>
      </c>
      <c r="B39" s="696" t="s">
        <v>1233</v>
      </c>
      <c r="C39" s="686"/>
      <c r="D39" s="288" t="s">
        <v>1234</v>
      </c>
      <c r="E39" s="54">
        <v>2802000</v>
      </c>
      <c r="F39" s="407">
        <v>2643283.87</v>
      </c>
      <c r="H39" s="396"/>
      <c r="I39" s="396"/>
      <c r="J39" s="396"/>
      <c r="K39" s="396"/>
      <c r="L39" s="396"/>
      <c r="M39" s="405"/>
      <c r="N39" s="406"/>
      <c r="W39" s="426"/>
      <c r="X39" s="427"/>
      <c r="AA39" s="396"/>
      <c r="AB39" s="396"/>
      <c r="AC39" s="695"/>
      <c r="AD39" s="695"/>
      <c r="AE39" s="695"/>
      <c r="AF39" s="695"/>
      <c r="AG39" s="695"/>
      <c r="AH39" s="695"/>
      <c r="AI39" s="695"/>
      <c r="AJ39" s="396"/>
      <c r="AK39" s="396"/>
    </row>
    <row r="40" spans="1:37" ht="23.25" customHeight="1">
      <c r="A40" s="383">
        <v>4</v>
      </c>
      <c r="B40" s="696" t="s">
        <v>1235</v>
      </c>
      <c r="C40" s="686"/>
      <c r="D40" s="288" t="s">
        <v>1236</v>
      </c>
      <c r="E40" s="54">
        <v>45500</v>
      </c>
      <c r="F40" s="407">
        <v>111571.2</v>
      </c>
      <c r="H40" s="396"/>
      <c r="I40" s="396"/>
      <c r="J40" s="396"/>
      <c r="K40" s="396"/>
      <c r="L40" s="396"/>
      <c r="M40" s="424"/>
      <c r="N40" s="406"/>
      <c r="W40" s="426"/>
      <c r="X40" s="427"/>
      <c r="AA40" s="396"/>
      <c r="AB40" s="396"/>
      <c r="AC40" s="695"/>
      <c r="AD40" s="695"/>
      <c r="AE40" s="695"/>
      <c r="AF40" s="695"/>
      <c r="AG40" s="695"/>
      <c r="AH40" s="695"/>
      <c r="AI40" s="695"/>
      <c r="AJ40" s="396"/>
      <c r="AK40" s="396"/>
    </row>
    <row r="41" spans="1:37" ht="23.25" customHeight="1">
      <c r="A41" s="383">
        <v>5</v>
      </c>
      <c r="B41" s="696" t="s">
        <v>1237</v>
      </c>
      <c r="C41" s="686"/>
      <c r="D41" s="288" t="s">
        <v>1238</v>
      </c>
      <c r="E41" s="54">
        <v>1515500</v>
      </c>
      <c r="F41" s="407">
        <v>0</v>
      </c>
      <c r="M41" s="426"/>
      <c r="N41" s="427"/>
      <c r="W41" s="426"/>
      <c r="X41" s="427"/>
      <c r="AA41" s="396"/>
      <c r="AB41" s="396"/>
      <c r="AC41" s="396"/>
      <c r="AD41" s="396"/>
      <c r="AE41" s="396"/>
      <c r="AF41" s="396"/>
      <c r="AG41" s="396"/>
      <c r="AH41" s="396"/>
      <c r="AI41" s="396"/>
      <c r="AJ41" s="396"/>
      <c r="AK41" s="396"/>
    </row>
    <row r="42" spans="1:37" ht="23.25" customHeight="1">
      <c r="A42" s="383">
        <v>6</v>
      </c>
      <c r="B42" s="696" t="s">
        <v>1239</v>
      </c>
      <c r="C42" s="686"/>
      <c r="D42" s="288" t="s">
        <v>1240</v>
      </c>
      <c r="E42" s="54">
        <v>3650500</v>
      </c>
      <c r="F42" s="407">
        <v>5982087.7199999997</v>
      </c>
      <c r="M42" s="426"/>
      <c r="N42" s="427"/>
      <c r="W42" s="426"/>
      <c r="X42" s="427"/>
      <c r="AA42" s="396"/>
      <c r="AB42" s="396"/>
      <c r="AC42" s="396"/>
      <c r="AD42" s="396"/>
      <c r="AE42" s="396"/>
      <c r="AF42" s="396"/>
      <c r="AG42" s="396"/>
      <c r="AH42" s="396"/>
      <c r="AI42" s="396"/>
      <c r="AJ42" s="396"/>
      <c r="AK42" s="396"/>
    </row>
    <row r="43" spans="1:37" ht="23.25" customHeight="1">
      <c r="A43" s="383">
        <v>7</v>
      </c>
      <c r="B43" s="696" t="s">
        <v>1241</v>
      </c>
      <c r="C43" s="686"/>
      <c r="D43" s="288" t="s">
        <v>1242</v>
      </c>
      <c r="E43" s="54">
        <v>57500</v>
      </c>
      <c r="F43" s="407">
        <v>49938.13</v>
      </c>
      <c r="M43" s="426"/>
      <c r="N43" s="427"/>
      <c r="W43" s="426"/>
      <c r="X43" s="427"/>
      <c r="AA43" s="396"/>
      <c r="AB43" s="396"/>
      <c r="AC43" s="396"/>
      <c r="AD43" s="396"/>
      <c r="AE43" s="396"/>
      <c r="AF43" s="396"/>
      <c r="AG43" s="396"/>
      <c r="AH43" s="396"/>
      <c r="AI43" s="396"/>
      <c r="AJ43" s="396"/>
      <c r="AK43" s="396"/>
    </row>
    <row r="44" spans="1:37" ht="23.25" customHeight="1">
      <c r="A44" s="383">
        <v>8</v>
      </c>
      <c r="B44" s="696" t="s">
        <v>1243</v>
      </c>
      <c r="C44" s="686"/>
      <c r="D44" s="288" t="s">
        <v>1244</v>
      </c>
      <c r="E44" s="54">
        <v>47700</v>
      </c>
      <c r="F44" s="407">
        <v>52710.36</v>
      </c>
      <c r="M44" s="426"/>
      <c r="N44" s="427"/>
      <c r="W44" s="426"/>
      <c r="X44" s="427"/>
      <c r="AA44" s="396"/>
      <c r="AB44" s="396"/>
      <c r="AC44" s="396"/>
      <c r="AD44" s="396"/>
      <c r="AE44" s="396"/>
      <c r="AF44" s="396"/>
      <c r="AG44" s="396"/>
      <c r="AH44" s="396"/>
      <c r="AI44" s="396"/>
      <c r="AJ44" s="396"/>
      <c r="AK44" s="396"/>
    </row>
    <row r="45" spans="1:37" ht="23.25" customHeight="1">
      <c r="A45" s="383">
        <v>9</v>
      </c>
      <c r="B45" s="698" t="s">
        <v>1245</v>
      </c>
      <c r="C45" s="699"/>
      <c r="D45" s="288" t="s">
        <v>1246</v>
      </c>
      <c r="E45" s="54">
        <v>1096000</v>
      </c>
      <c r="F45" s="407">
        <v>922045</v>
      </c>
      <c r="I45" s="428"/>
      <c r="M45" s="426"/>
      <c r="N45" s="427"/>
      <c r="W45" s="426"/>
      <c r="X45" s="427"/>
      <c r="AA45" s="396"/>
      <c r="AB45" s="396"/>
      <c r="AC45" s="396"/>
      <c r="AD45" s="396"/>
      <c r="AE45" s="396"/>
      <c r="AF45" s="396"/>
      <c r="AG45" s="396"/>
      <c r="AH45" s="396"/>
      <c r="AI45" s="396"/>
      <c r="AJ45" s="396"/>
      <c r="AK45" s="396"/>
    </row>
    <row r="46" spans="1:37" ht="23.25" customHeight="1">
      <c r="A46" s="383">
        <v>10</v>
      </c>
      <c r="B46" s="698" t="s">
        <v>1247</v>
      </c>
      <c r="C46" s="699"/>
      <c r="D46" s="288" t="s">
        <v>1248</v>
      </c>
      <c r="E46" s="54">
        <v>2145</v>
      </c>
      <c r="F46" s="407">
        <v>36260</v>
      </c>
      <c r="I46" s="428"/>
      <c r="M46" s="426"/>
      <c r="N46" s="427"/>
      <c r="W46" s="426"/>
      <c r="X46" s="427"/>
      <c r="AA46" s="396"/>
      <c r="AB46" s="396"/>
      <c r="AC46" s="396"/>
      <c r="AD46" s="396"/>
      <c r="AE46" s="396"/>
      <c r="AF46" s="396"/>
      <c r="AG46" s="396"/>
      <c r="AH46" s="396"/>
      <c r="AI46" s="396"/>
      <c r="AJ46" s="396"/>
      <c r="AK46" s="396"/>
    </row>
    <row r="47" spans="1:37" ht="23.25" customHeight="1">
      <c r="A47" s="383">
        <v>11</v>
      </c>
      <c r="B47" s="698" t="s">
        <v>1249</v>
      </c>
      <c r="C47" s="699"/>
      <c r="D47" s="288"/>
      <c r="E47" s="54">
        <v>2600</v>
      </c>
      <c r="F47" s="407">
        <v>0</v>
      </c>
      <c r="I47" s="428"/>
      <c r="M47" s="426"/>
      <c r="N47" s="427"/>
      <c r="W47" s="426"/>
      <c r="X47" s="427"/>
      <c r="AA47" s="396"/>
      <c r="AB47" s="396"/>
      <c r="AC47" s="396"/>
      <c r="AD47" s="396"/>
      <c r="AE47" s="396"/>
      <c r="AF47" s="396"/>
      <c r="AG47" s="396"/>
      <c r="AH47" s="396"/>
      <c r="AI47" s="396"/>
      <c r="AJ47" s="396"/>
      <c r="AK47" s="396"/>
    </row>
    <row r="48" spans="1:37" ht="23.25" customHeight="1">
      <c r="A48" s="700" t="s">
        <v>35</v>
      </c>
      <c r="B48" s="695"/>
      <c r="C48" s="701"/>
      <c r="D48" s="429"/>
      <c r="E48" s="60">
        <f>SUM(E37:E47)</f>
        <v>18246645</v>
      </c>
      <c r="F48" s="400">
        <f>SUM(F35:F47)</f>
        <v>19553508.639999997</v>
      </c>
      <c r="G48" s="427"/>
      <c r="I48" s="428"/>
      <c r="M48" s="426"/>
      <c r="N48" s="427"/>
      <c r="W48" s="426"/>
      <c r="X48" s="427"/>
      <c r="AA48" s="396"/>
      <c r="AB48" s="396"/>
      <c r="AC48" s="396"/>
      <c r="AD48" s="396"/>
      <c r="AE48" s="396"/>
      <c r="AF48" s="396"/>
      <c r="AG48" s="396"/>
      <c r="AH48" s="396"/>
      <c r="AI48" s="396"/>
      <c r="AJ48" s="396"/>
      <c r="AK48" s="396"/>
    </row>
    <row r="49" spans="1:37" ht="23.25" customHeight="1">
      <c r="A49" s="422" t="s">
        <v>1250</v>
      </c>
      <c r="B49" s="395"/>
      <c r="C49" s="395"/>
      <c r="D49" s="410" t="s">
        <v>1251</v>
      </c>
      <c r="E49" s="404"/>
      <c r="F49" s="404"/>
      <c r="G49" s="427"/>
      <c r="I49" s="428"/>
      <c r="M49" s="426"/>
      <c r="N49" s="427"/>
      <c r="W49" s="426"/>
      <c r="X49" s="427"/>
      <c r="AA49" s="396"/>
      <c r="AB49" s="396"/>
      <c r="AC49" s="396"/>
      <c r="AD49" s="396"/>
      <c r="AE49" s="396"/>
      <c r="AF49" s="396"/>
      <c r="AG49" s="396"/>
      <c r="AH49" s="396"/>
      <c r="AI49" s="396"/>
      <c r="AJ49" s="396"/>
      <c r="AK49" s="396"/>
    </row>
    <row r="50" spans="1:37" ht="23.25" customHeight="1">
      <c r="A50" s="702" t="s">
        <v>1252</v>
      </c>
      <c r="B50" s="703"/>
      <c r="C50" s="703"/>
      <c r="D50" s="410" t="s">
        <v>1253</v>
      </c>
      <c r="E50" s="54"/>
      <c r="F50" s="407"/>
      <c r="G50" s="427"/>
      <c r="I50" s="428"/>
      <c r="M50" s="426"/>
      <c r="N50" s="427"/>
      <c r="W50" s="426"/>
      <c r="X50" s="427"/>
      <c r="AA50" s="396"/>
      <c r="AB50" s="396"/>
      <c r="AC50" s="396"/>
      <c r="AD50" s="396"/>
      <c r="AE50" s="396"/>
      <c r="AF50" s="396"/>
      <c r="AG50" s="396"/>
      <c r="AH50" s="396"/>
      <c r="AI50" s="396"/>
      <c r="AJ50" s="396"/>
      <c r="AK50" s="396"/>
    </row>
    <row r="51" spans="1:37" ht="23.25" customHeight="1">
      <c r="A51" s="383">
        <v>1</v>
      </c>
      <c r="B51" s="430" t="s">
        <v>1254</v>
      </c>
      <c r="C51" s="431"/>
      <c r="D51" s="288" t="s">
        <v>1255</v>
      </c>
      <c r="E51" s="54">
        <v>24197555</v>
      </c>
      <c r="F51" s="407">
        <v>23852732</v>
      </c>
      <c r="G51" s="427"/>
      <c r="I51" s="428"/>
      <c r="M51" s="426"/>
      <c r="N51" s="427"/>
      <c r="W51" s="426"/>
      <c r="X51" s="427"/>
      <c r="AA51" s="396"/>
      <c r="AB51" s="396"/>
      <c r="AC51" s="396"/>
      <c r="AD51" s="396"/>
      <c r="AE51" s="396"/>
      <c r="AF51" s="396"/>
      <c r="AG51" s="396"/>
      <c r="AH51" s="396"/>
      <c r="AI51" s="396"/>
      <c r="AJ51" s="396"/>
      <c r="AK51" s="396"/>
    </row>
    <row r="52" spans="1:37" ht="23.25" customHeight="1">
      <c r="A52" s="514">
        <v>2</v>
      </c>
      <c r="B52" s="515" t="s">
        <v>1265</v>
      </c>
      <c r="C52" s="516"/>
      <c r="D52" s="415" t="s">
        <v>1256</v>
      </c>
      <c r="E52" s="54"/>
      <c r="F52" s="407">
        <v>19600</v>
      </c>
      <c r="G52" s="427"/>
      <c r="I52" s="428"/>
      <c r="M52" s="426"/>
      <c r="N52" s="427"/>
      <c r="W52" s="426"/>
      <c r="X52" s="427"/>
      <c r="AA52" s="396"/>
      <c r="AB52" s="396"/>
      <c r="AC52" s="396"/>
      <c r="AD52" s="396"/>
      <c r="AE52" s="396"/>
      <c r="AF52" s="396"/>
      <c r="AG52" s="396"/>
      <c r="AH52" s="396"/>
      <c r="AI52" s="396"/>
      <c r="AJ52" s="396"/>
      <c r="AK52" s="396"/>
    </row>
    <row r="53" spans="1:37" ht="23.25" customHeight="1">
      <c r="A53" s="704" t="s">
        <v>35</v>
      </c>
      <c r="B53" s="705"/>
      <c r="C53" s="706"/>
      <c r="D53" s="418"/>
      <c r="E53" s="60">
        <f>SUM(E51)</f>
        <v>24197555</v>
      </c>
      <c r="F53" s="400">
        <f>SUM(F51:F52)</f>
        <v>23872332</v>
      </c>
      <c r="G53" s="427">
        <v>19600</v>
      </c>
      <c r="I53" s="428"/>
      <c r="M53" s="426"/>
      <c r="N53" s="427"/>
      <c r="W53" s="426"/>
      <c r="X53" s="427"/>
      <c r="AA53" s="396"/>
      <c r="AB53" s="396"/>
      <c r="AC53" s="396"/>
      <c r="AD53" s="396"/>
      <c r="AE53" s="396"/>
      <c r="AF53" s="396"/>
      <c r="AG53" s="396"/>
      <c r="AH53" s="396"/>
      <c r="AI53" s="396"/>
      <c r="AJ53" s="396"/>
      <c r="AK53" s="396"/>
    </row>
    <row r="54" spans="1:37" ht="23.25" customHeight="1">
      <c r="A54" s="422" t="s">
        <v>1257</v>
      </c>
      <c r="B54" s="430"/>
      <c r="C54" s="430"/>
      <c r="D54" s="403" t="s">
        <v>1258</v>
      </c>
      <c r="E54" s="404"/>
      <c r="F54" s="404"/>
      <c r="G54" s="427"/>
      <c r="I54" s="428"/>
      <c r="M54" s="426"/>
      <c r="N54" s="427"/>
      <c r="W54" s="426"/>
      <c r="X54" s="427"/>
      <c r="AA54" s="396"/>
      <c r="AB54" s="396"/>
      <c r="AC54" s="396"/>
      <c r="AD54" s="396"/>
      <c r="AE54" s="396"/>
      <c r="AF54" s="396"/>
      <c r="AG54" s="396"/>
      <c r="AH54" s="396"/>
      <c r="AI54" s="396"/>
      <c r="AJ54" s="396"/>
      <c r="AK54" s="396"/>
    </row>
    <row r="55" spans="1:37" ht="23.25" customHeight="1">
      <c r="A55" s="702" t="s">
        <v>1259</v>
      </c>
      <c r="B55" s="703"/>
      <c r="C55" s="703"/>
      <c r="D55" s="403" t="s">
        <v>1260</v>
      </c>
      <c r="E55" s="54">
        <v>0</v>
      </c>
      <c r="F55" s="407"/>
      <c r="G55" s="427"/>
      <c r="I55" s="428"/>
      <c r="M55" s="426"/>
      <c r="N55" s="427"/>
      <c r="W55" s="426"/>
      <c r="X55" s="427"/>
      <c r="AA55" s="396"/>
      <c r="AB55" s="396"/>
      <c r="AC55" s="396"/>
      <c r="AD55" s="396"/>
      <c r="AE55" s="396"/>
      <c r="AF55" s="396"/>
      <c r="AG55" s="396"/>
      <c r="AH55" s="396"/>
      <c r="AI55" s="396"/>
      <c r="AJ55" s="396"/>
      <c r="AK55" s="396"/>
    </row>
    <row r="56" spans="1:37" ht="23.25" customHeight="1">
      <c r="A56" s="432" t="s">
        <v>1261</v>
      </c>
      <c r="B56" s="707" t="s">
        <v>1262</v>
      </c>
      <c r="C56" s="708"/>
      <c r="D56" s="288" t="s">
        <v>856</v>
      </c>
      <c r="E56" s="54"/>
      <c r="F56" s="407">
        <v>29900</v>
      </c>
      <c r="G56" s="427"/>
      <c r="I56" s="428"/>
      <c r="M56" s="426"/>
      <c r="N56" s="427"/>
      <c r="W56" s="426"/>
      <c r="X56" s="427"/>
      <c r="AA56" s="396"/>
      <c r="AB56" s="396"/>
      <c r="AC56" s="396"/>
      <c r="AD56" s="396"/>
      <c r="AE56" s="396"/>
      <c r="AF56" s="396"/>
      <c r="AG56" s="396"/>
      <c r="AH56" s="396"/>
      <c r="AI56" s="396"/>
      <c r="AJ56" s="396"/>
      <c r="AK56" s="396"/>
    </row>
    <row r="57" spans="1:37">
      <c r="A57" s="700" t="s">
        <v>35</v>
      </c>
      <c r="B57" s="695"/>
      <c r="C57" s="701"/>
      <c r="D57" s="429"/>
      <c r="E57" s="60">
        <f>SUM(E55:E55)</f>
        <v>0</v>
      </c>
      <c r="F57" s="400">
        <f>SUM(F55:F56)</f>
        <v>29900</v>
      </c>
      <c r="G57" s="427"/>
    </row>
    <row r="58" spans="1:37" ht="25.5" thickBot="1">
      <c r="A58" s="697" t="s">
        <v>40</v>
      </c>
      <c r="B58" s="697"/>
      <c r="C58" s="697"/>
      <c r="D58" s="433"/>
      <c r="E58" s="434">
        <f>+E10+E23+E26+E30+E33+E48+E53+E57</f>
        <v>43267600</v>
      </c>
      <c r="F58" s="435">
        <f>+F10+F23+F26+F30+F33+F48+F53+F57</f>
        <v>44191962.409999996</v>
      </c>
      <c r="G58" s="427"/>
    </row>
    <row r="59" spans="1:37" ht="25.5" thickTop="1">
      <c r="A59" s="436"/>
      <c r="B59" s="426"/>
      <c r="C59" s="426"/>
      <c r="D59" s="436"/>
      <c r="E59" s="411"/>
      <c r="F59" s="437"/>
    </row>
    <row r="60" spans="1:37">
      <c r="A60" s="436"/>
      <c r="B60" s="426" t="s">
        <v>1305</v>
      </c>
      <c r="C60" s="426"/>
      <c r="D60" s="436"/>
      <c r="E60" s="411"/>
      <c r="F60" s="437"/>
    </row>
    <row r="61" spans="1:37">
      <c r="A61" s="436"/>
      <c r="B61" s="426"/>
      <c r="C61" s="426" t="s">
        <v>1306</v>
      </c>
      <c r="D61" s="436"/>
      <c r="E61" s="411"/>
      <c r="F61" s="437"/>
    </row>
    <row r="62" spans="1:37">
      <c r="A62" s="436"/>
      <c r="B62" s="426"/>
      <c r="C62" s="426" t="s">
        <v>1307</v>
      </c>
      <c r="D62" s="436"/>
      <c r="E62" s="411"/>
      <c r="F62" s="437"/>
    </row>
    <row r="63" spans="1:37">
      <c r="A63" s="436"/>
      <c r="B63" s="426"/>
      <c r="C63" s="426" t="s">
        <v>1308</v>
      </c>
      <c r="D63" s="436"/>
      <c r="E63" s="411"/>
      <c r="F63" s="437"/>
    </row>
    <row r="64" spans="1:37">
      <c r="A64" s="436"/>
      <c r="B64" s="426"/>
      <c r="C64" s="426" t="s">
        <v>1309</v>
      </c>
      <c r="D64" s="436"/>
      <c r="E64" s="411"/>
      <c r="F64" s="437"/>
    </row>
    <row r="65" spans="1:6">
      <c r="A65" s="436"/>
      <c r="B65" s="426"/>
      <c r="C65" s="426"/>
      <c r="D65" s="436"/>
      <c r="E65" s="411"/>
      <c r="F65" s="437"/>
    </row>
  </sheetData>
  <mergeCells count="56">
    <mergeCell ref="A11:C11"/>
    <mergeCell ref="A1:E1"/>
    <mergeCell ref="Q1:Z1"/>
    <mergeCell ref="A2:F2"/>
    <mergeCell ref="A3:F3"/>
    <mergeCell ref="A4:C4"/>
    <mergeCell ref="H4:L4"/>
    <mergeCell ref="R4:V4"/>
    <mergeCell ref="A6:C6"/>
    <mergeCell ref="B7:C7"/>
    <mergeCell ref="B8:C8"/>
    <mergeCell ref="B9:C9"/>
    <mergeCell ref="A10:C10"/>
    <mergeCell ref="B25:C25"/>
    <mergeCell ref="B12:C12"/>
    <mergeCell ref="B13:C13"/>
    <mergeCell ref="B16:C16"/>
    <mergeCell ref="B17:C17"/>
    <mergeCell ref="B19:C19"/>
    <mergeCell ref="B20:C20"/>
    <mergeCell ref="I20:J20"/>
    <mergeCell ref="B21:C21"/>
    <mergeCell ref="B22:C22"/>
    <mergeCell ref="A23:C23"/>
    <mergeCell ref="A24:C24"/>
    <mergeCell ref="AC36:AI36"/>
    <mergeCell ref="B38:C38"/>
    <mergeCell ref="AC38:AI38"/>
    <mergeCell ref="A26:C26"/>
    <mergeCell ref="A27:C27"/>
    <mergeCell ref="B28:C28"/>
    <mergeCell ref="B29:C29"/>
    <mergeCell ref="A30:C30"/>
    <mergeCell ref="A31:C31"/>
    <mergeCell ref="B42:C42"/>
    <mergeCell ref="B32:C32"/>
    <mergeCell ref="A33:C33"/>
    <mergeCell ref="A36:C36"/>
    <mergeCell ref="R36:V36"/>
    <mergeCell ref="B39:C39"/>
    <mergeCell ref="AC39:AI39"/>
    <mergeCell ref="B40:C40"/>
    <mergeCell ref="AC40:AI40"/>
    <mergeCell ref="B41:C41"/>
    <mergeCell ref="A58:C58"/>
    <mergeCell ref="B43:C43"/>
    <mergeCell ref="B44:C44"/>
    <mergeCell ref="B45:C45"/>
    <mergeCell ref="B46:C46"/>
    <mergeCell ref="B47:C47"/>
    <mergeCell ref="A48:C48"/>
    <mergeCell ref="A50:C50"/>
    <mergeCell ref="A53:C53"/>
    <mergeCell ref="A55:C55"/>
    <mergeCell ref="B56:C56"/>
    <mergeCell ref="A57:C57"/>
  </mergeCells>
  <pageMargins left="0.31496062992125984" right="0.19685039370078741" top="0.39370078740157483" bottom="0.23622047244094491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J10" sqref="J10"/>
    </sheetView>
  </sheetViews>
  <sheetFormatPr defaultRowHeight="24.75"/>
  <cols>
    <col min="1" max="1" width="12.75" style="43" customWidth="1"/>
    <col min="2" max="2" width="18.375" style="43" customWidth="1"/>
    <col min="3" max="3" width="12.75" style="43" customWidth="1"/>
    <col min="4" max="4" width="15.75" style="56" customWidth="1"/>
    <col min="5" max="6" width="15.25" style="56" customWidth="1"/>
    <col min="7" max="8" width="13.75" style="56" customWidth="1"/>
    <col min="9" max="9" width="15.875" style="56" customWidth="1"/>
    <col min="10" max="256" width="9" style="43"/>
    <col min="257" max="257" width="12.75" style="43" customWidth="1"/>
    <col min="258" max="258" width="18.375" style="43" customWidth="1"/>
    <col min="259" max="259" width="12.75" style="43" customWidth="1"/>
    <col min="260" max="260" width="15.75" style="43" customWidth="1"/>
    <col min="261" max="262" width="15.25" style="43" customWidth="1"/>
    <col min="263" max="264" width="13.75" style="43" customWidth="1"/>
    <col min="265" max="265" width="15.875" style="43" customWidth="1"/>
    <col min="266" max="512" width="9" style="43"/>
    <col min="513" max="513" width="12.75" style="43" customWidth="1"/>
    <col min="514" max="514" width="18.375" style="43" customWidth="1"/>
    <col min="515" max="515" width="12.75" style="43" customWidth="1"/>
    <col min="516" max="516" width="15.75" style="43" customWidth="1"/>
    <col min="517" max="518" width="15.25" style="43" customWidth="1"/>
    <col min="519" max="520" width="13.75" style="43" customWidth="1"/>
    <col min="521" max="521" width="15.875" style="43" customWidth="1"/>
    <col min="522" max="768" width="9" style="43"/>
    <col min="769" max="769" width="12.75" style="43" customWidth="1"/>
    <col min="770" max="770" width="18.375" style="43" customWidth="1"/>
    <col min="771" max="771" width="12.75" style="43" customWidth="1"/>
    <col min="772" max="772" width="15.75" style="43" customWidth="1"/>
    <col min="773" max="774" width="15.25" style="43" customWidth="1"/>
    <col min="775" max="776" width="13.75" style="43" customWidth="1"/>
    <col min="777" max="777" width="15.875" style="43" customWidth="1"/>
    <col min="778" max="1024" width="9" style="43"/>
    <col min="1025" max="1025" width="12.75" style="43" customWidth="1"/>
    <col min="1026" max="1026" width="18.375" style="43" customWidth="1"/>
    <col min="1027" max="1027" width="12.75" style="43" customWidth="1"/>
    <col min="1028" max="1028" width="15.75" style="43" customWidth="1"/>
    <col min="1029" max="1030" width="15.25" style="43" customWidth="1"/>
    <col min="1031" max="1032" width="13.75" style="43" customWidth="1"/>
    <col min="1033" max="1033" width="15.875" style="43" customWidth="1"/>
    <col min="1034" max="1280" width="9" style="43"/>
    <col min="1281" max="1281" width="12.75" style="43" customWidth="1"/>
    <col min="1282" max="1282" width="18.375" style="43" customWidth="1"/>
    <col min="1283" max="1283" width="12.75" style="43" customWidth="1"/>
    <col min="1284" max="1284" width="15.75" style="43" customWidth="1"/>
    <col min="1285" max="1286" width="15.25" style="43" customWidth="1"/>
    <col min="1287" max="1288" width="13.75" style="43" customWidth="1"/>
    <col min="1289" max="1289" width="15.875" style="43" customWidth="1"/>
    <col min="1290" max="1536" width="9" style="43"/>
    <col min="1537" max="1537" width="12.75" style="43" customWidth="1"/>
    <col min="1538" max="1538" width="18.375" style="43" customWidth="1"/>
    <col min="1539" max="1539" width="12.75" style="43" customWidth="1"/>
    <col min="1540" max="1540" width="15.75" style="43" customWidth="1"/>
    <col min="1541" max="1542" width="15.25" style="43" customWidth="1"/>
    <col min="1543" max="1544" width="13.75" style="43" customWidth="1"/>
    <col min="1545" max="1545" width="15.875" style="43" customWidth="1"/>
    <col min="1546" max="1792" width="9" style="43"/>
    <col min="1793" max="1793" width="12.75" style="43" customWidth="1"/>
    <col min="1794" max="1794" width="18.375" style="43" customWidth="1"/>
    <col min="1795" max="1795" width="12.75" style="43" customWidth="1"/>
    <col min="1796" max="1796" width="15.75" style="43" customWidth="1"/>
    <col min="1797" max="1798" width="15.25" style="43" customWidth="1"/>
    <col min="1799" max="1800" width="13.75" style="43" customWidth="1"/>
    <col min="1801" max="1801" width="15.875" style="43" customWidth="1"/>
    <col min="1802" max="2048" width="9" style="43"/>
    <col min="2049" max="2049" width="12.75" style="43" customWidth="1"/>
    <col min="2050" max="2050" width="18.375" style="43" customWidth="1"/>
    <col min="2051" max="2051" width="12.75" style="43" customWidth="1"/>
    <col min="2052" max="2052" width="15.75" style="43" customWidth="1"/>
    <col min="2053" max="2054" width="15.25" style="43" customWidth="1"/>
    <col min="2055" max="2056" width="13.75" style="43" customWidth="1"/>
    <col min="2057" max="2057" width="15.875" style="43" customWidth="1"/>
    <col min="2058" max="2304" width="9" style="43"/>
    <col min="2305" max="2305" width="12.75" style="43" customWidth="1"/>
    <col min="2306" max="2306" width="18.375" style="43" customWidth="1"/>
    <col min="2307" max="2307" width="12.75" style="43" customWidth="1"/>
    <col min="2308" max="2308" width="15.75" style="43" customWidth="1"/>
    <col min="2309" max="2310" width="15.25" style="43" customWidth="1"/>
    <col min="2311" max="2312" width="13.75" style="43" customWidth="1"/>
    <col min="2313" max="2313" width="15.875" style="43" customWidth="1"/>
    <col min="2314" max="2560" width="9" style="43"/>
    <col min="2561" max="2561" width="12.75" style="43" customWidth="1"/>
    <col min="2562" max="2562" width="18.375" style="43" customWidth="1"/>
    <col min="2563" max="2563" width="12.75" style="43" customWidth="1"/>
    <col min="2564" max="2564" width="15.75" style="43" customWidth="1"/>
    <col min="2565" max="2566" width="15.25" style="43" customWidth="1"/>
    <col min="2567" max="2568" width="13.75" style="43" customWidth="1"/>
    <col min="2569" max="2569" width="15.875" style="43" customWidth="1"/>
    <col min="2570" max="2816" width="9" style="43"/>
    <col min="2817" max="2817" width="12.75" style="43" customWidth="1"/>
    <col min="2818" max="2818" width="18.375" style="43" customWidth="1"/>
    <col min="2819" max="2819" width="12.75" style="43" customWidth="1"/>
    <col min="2820" max="2820" width="15.75" style="43" customWidth="1"/>
    <col min="2821" max="2822" width="15.25" style="43" customWidth="1"/>
    <col min="2823" max="2824" width="13.75" style="43" customWidth="1"/>
    <col min="2825" max="2825" width="15.875" style="43" customWidth="1"/>
    <col min="2826" max="3072" width="9" style="43"/>
    <col min="3073" max="3073" width="12.75" style="43" customWidth="1"/>
    <col min="3074" max="3074" width="18.375" style="43" customWidth="1"/>
    <col min="3075" max="3075" width="12.75" style="43" customWidth="1"/>
    <col min="3076" max="3076" width="15.75" style="43" customWidth="1"/>
    <col min="3077" max="3078" width="15.25" style="43" customWidth="1"/>
    <col min="3079" max="3080" width="13.75" style="43" customWidth="1"/>
    <col min="3081" max="3081" width="15.875" style="43" customWidth="1"/>
    <col min="3082" max="3328" width="9" style="43"/>
    <col min="3329" max="3329" width="12.75" style="43" customWidth="1"/>
    <col min="3330" max="3330" width="18.375" style="43" customWidth="1"/>
    <col min="3331" max="3331" width="12.75" style="43" customWidth="1"/>
    <col min="3332" max="3332" width="15.75" style="43" customWidth="1"/>
    <col min="3333" max="3334" width="15.25" style="43" customWidth="1"/>
    <col min="3335" max="3336" width="13.75" style="43" customWidth="1"/>
    <col min="3337" max="3337" width="15.875" style="43" customWidth="1"/>
    <col min="3338" max="3584" width="9" style="43"/>
    <col min="3585" max="3585" width="12.75" style="43" customWidth="1"/>
    <col min="3586" max="3586" width="18.375" style="43" customWidth="1"/>
    <col min="3587" max="3587" width="12.75" style="43" customWidth="1"/>
    <col min="3588" max="3588" width="15.75" style="43" customWidth="1"/>
    <col min="3589" max="3590" width="15.25" style="43" customWidth="1"/>
    <col min="3591" max="3592" width="13.75" style="43" customWidth="1"/>
    <col min="3593" max="3593" width="15.875" style="43" customWidth="1"/>
    <col min="3594" max="3840" width="9" style="43"/>
    <col min="3841" max="3841" width="12.75" style="43" customWidth="1"/>
    <col min="3842" max="3842" width="18.375" style="43" customWidth="1"/>
    <col min="3843" max="3843" width="12.75" style="43" customWidth="1"/>
    <col min="3844" max="3844" width="15.75" style="43" customWidth="1"/>
    <col min="3845" max="3846" width="15.25" style="43" customWidth="1"/>
    <col min="3847" max="3848" width="13.75" style="43" customWidth="1"/>
    <col min="3849" max="3849" width="15.875" style="43" customWidth="1"/>
    <col min="3850" max="4096" width="9" style="43"/>
    <col min="4097" max="4097" width="12.75" style="43" customWidth="1"/>
    <col min="4098" max="4098" width="18.375" style="43" customWidth="1"/>
    <col min="4099" max="4099" width="12.75" style="43" customWidth="1"/>
    <col min="4100" max="4100" width="15.75" style="43" customWidth="1"/>
    <col min="4101" max="4102" width="15.25" style="43" customWidth="1"/>
    <col min="4103" max="4104" width="13.75" style="43" customWidth="1"/>
    <col min="4105" max="4105" width="15.875" style="43" customWidth="1"/>
    <col min="4106" max="4352" width="9" style="43"/>
    <col min="4353" max="4353" width="12.75" style="43" customWidth="1"/>
    <col min="4354" max="4354" width="18.375" style="43" customWidth="1"/>
    <col min="4355" max="4355" width="12.75" style="43" customWidth="1"/>
    <col min="4356" max="4356" width="15.75" style="43" customWidth="1"/>
    <col min="4357" max="4358" width="15.25" style="43" customWidth="1"/>
    <col min="4359" max="4360" width="13.75" style="43" customWidth="1"/>
    <col min="4361" max="4361" width="15.875" style="43" customWidth="1"/>
    <col min="4362" max="4608" width="9" style="43"/>
    <col min="4609" max="4609" width="12.75" style="43" customWidth="1"/>
    <col min="4610" max="4610" width="18.375" style="43" customWidth="1"/>
    <col min="4611" max="4611" width="12.75" style="43" customWidth="1"/>
    <col min="4612" max="4612" width="15.75" style="43" customWidth="1"/>
    <col min="4613" max="4614" width="15.25" style="43" customWidth="1"/>
    <col min="4615" max="4616" width="13.75" style="43" customWidth="1"/>
    <col min="4617" max="4617" width="15.875" style="43" customWidth="1"/>
    <col min="4618" max="4864" width="9" style="43"/>
    <col min="4865" max="4865" width="12.75" style="43" customWidth="1"/>
    <col min="4866" max="4866" width="18.375" style="43" customWidth="1"/>
    <col min="4867" max="4867" width="12.75" style="43" customWidth="1"/>
    <col min="4868" max="4868" width="15.75" style="43" customWidth="1"/>
    <col min="4869" max="4870" width="15.25" style="43" customWidth="1"/>
    <col min="4871" max="4872" width="13.75" style="43" customWidth="1"/>
    <col min="4873" max="4873" width="15.875" style="43" customWidth="1"/>
    <col min="4874" max="5120" width="9" style="43"/>
    <col min="5121" max="5121" width="12.75" style="43" customWidth="1"/>
    <col min="5122" max="5122" width="18.375" style="43" customWidth="1"/>
    <col min="5123" max="5123" width="12.75" style="43" customWidth="1"/>
    <col min="5124" max="5124" width="15.75" style="43" customWidth="1"/>
    <col min="5125" max="5126" width="15.25" style="43" customWidth="1"/>
    <col min="5127" max="5128" width="13.75" style="43" customWidth="1"/>
    <col min="5129" max="5129" width="15.875" style="43" customWidth="1"/>
    <col min="5130" max="5376" width="9" style="43"/>
    <col min="5377" max="5377" width="12.75" style="43" customWidth="1"/>
    <col min="5378" max="5378" width="18.375" style="43" customWidth="1"/>
    <col min="5379" max="5379" width="12.75" style="43" customWidth="1"/>
    <col min="5380" max="5380" width="15.75" style="43" customWidth="1"/>
    <col min="5381" max="5382" width="15.25" style="43" customWidth="1"/>
    <col min="5383" max="5384" width="13.75" style="43" customWidth="1"/>
    <col min="5385" max="5385" width="15.875" style="43" customWidth="1"/>
    <col min="5386" max="5632" width="9" style="43"/>
    <col min="5633" max="5633" width="12.75" style="43" customWidth="1"/>
    <col min="5634" max="5634" width="18.375" style="43" customWidth="1"/>
    <col min="5635" max="5635" width="12.75" style="43" customWidth="1"/>
    <col min="5636" max="5636" width="15.75" style="43" customWidth="1"/>
    <col min="5637" max="5638" width="15.25" style="43" customWidth="1"/>
    <col min="5639" max="5640" width="13.75" style="43" customWidth="1"/>
    <col min="5641" max="5641" width="15.875" style="43" customWidth="1"/>
    <col min="5642" max="5888" width="9" style="43"/>
    <col min="5889" max="5889" width="12.75" style="43" customWidth="1"/>
    <col min="5890" max="5890" width="18.375" style="43" customWidth="1"/>
    <col min="5891" max="5891" width="12.75" style="43" customWidth="1"/>
    <col min="5892" max="5892" width="15.75" style="43" customWidth="1"/>
    <col min="5893" max="5894" width="15.25" style="43" customWidth="1"/>
    <col min="5895" max="5896" width="13.75" style="43" customWidth="1"/>
    <col min="5897" max="5897" width="15.875" style="43" customWidth="1"/>
    <col min="5898" max="6144" width="9" style="43"/>
    <col min="6145" max="6145" width="12.75" style="43" customWidth="1"/>
    <col min="6146" max="6146" width="18.375" style="43" customWidth="1"/>
    <col min="6147" max="6147" width="12.75" style="43" customWidth="1"/>
    <col min="6148" max="6148" width="15.75" style="43" customWidth="1"/>
    <col min="6149" max="6150" width="15.25" style="43" customWidth="1"/>
    <col min="6151" max="6152" width="13.75" style="43" customWidth="1"/>
    <col min="6153" max="6153" width="15.875" style="43" customWidth="1"/>
    <col min="6154" max="6400" width="9" style="43"/>
    <col min="6401" max="6401" width="12.75" style="43" customWidth="1"/>
    <col min="6402" max="6402" width="18.375" style="43" customWidth="1"/>
    <col min="6403" max="6403" width="12.75" style="43" customWidth="1"/>
    <col min="6404" max="6404" width="15.75" style="43" customWidth="1"/>
    <col min="6405" max="6406" width="15.25" style="43" customWidth="1"/>
    <col min="6407" max="6408" width="13.75" style="43" customWidth="1"/>
    <col min="6409" max="6409" width="15.875" style="43" customWidth="1"/>
    <col min="6410" max="6656" width="9" style="43"/>
    <col min="6657" max="6657" width="12.75" style="43" customWidth="1"/>
    <col min="6658" max="6658" width="18.375" style="43" customWidth="1"/>
    <col min="6659" max="6659" width="12.75" style="43" customWidth="1"/>
    <col min="6660" max="6660" width="15.75" style="43" customWidth="1"/>
    <col min="6661" max="6662" width="15.25" style="43" customWidth="1"/>
    <col min="6663" max="6664" width="13.75" style="43" customWidth="1"/>
    <col min="6665" max="6665" width="15.875" style="43" customWidth="1"/>
    <col min="6666" max="6912" width="9" style="43"/>
    <col min="6913" max="6913" width="12.75" style="43" customWidth="1"/>
    <col min="6914" max="6914" width="18.375" style="43" customWidth="1"/>
    <col min="6915" max="6915" width="12.75" style="43" customWidth="1"/>
    <col min="6916" max="6916" width="15.75" style="43" customWidth="1"/>
    <col min="6917" max="6918" width="15.25" style="43" customWidth="1"/>
    <col min="6919" max="6920" width="13.75" style="43" customWidth="1"/>
    <col min="6921" max="6921" width="15.875" style="43" customWidth="1"/>
    <col min="6922" max="7168" width="9" style="43"/>
    <col min="7169" max="7169" width="12.75" style="43" customWidth="1"/>
    <col min="7170" max="7170" width="18.375" style="43" customWidth="1"/>
    <col min="7171" max="7171" width="12.75" style="43" customWidth="1"/>
    <col min="7172" max="7172" width="15.75" style="43" customWidth="1"/>
    <col min="7173" max="7174" width="15.25" style="43" customWidth="1"/>
    <col min="7175" max="7176" width="13.75" style="43" customWidth="1"/>
    <col min="7177" max="7177" width="15.875" style="43" customWidth="1"/>
    <col min="7178" max="7424" width="9" style="43"/>
    <col min="7425" max="7425" width="12.75" style="43" customWidth="1"/>
    <col min="7426" max="7426" width="18.375" style="43" customWidth="1"/>
    <col min="7427" max="7427" width="12.75" style="43" customWidth="1"/>
    <col min="7428" max="7428" width="15.75" style="43" customWidth="1"/>
    <col min="7429" max="7430" width="15.25" style="43" customWidth="1"/>
    <col min="7431" max="7432" width="13.75" style="43" customWidth="1"/>
    <col min="7433" max="7433" width="15.875" style="43" customWidth="1"/>
    <col min="7434" max="7680" width="9" style="43"/>
    <col min="7681" max="7681" width="12.75" style="43" customWidth="1"/>
    <col min="7682" max="7682" width="18.375" style="43" customWidth="1"/>
    <col min="7683" max="7683" width="12.75" style="43" customWidth="1"/>
    <col min="7684" max="7684" width="15.75" style="43" customWidth="1"/>
    <col min="7685" max="7686" width="15.25" style="43" customWidth="1"/>
    <col min="7687" max="7688" width="13.75" style="43" customWidth="1"/>
    <col min="7689" max="7689" width="15.875" style="43" customWidth="1"/>
    <col min="7690" max="7936" width="9" style="43"/>
    <col min="7937" max="7937" width="12.75" style="43" customWidth="1"/>
    <col min="7938" max="7938" width="18.375" style="43" customWidth="1"/>
    <col min="7939" max="7939" width="12.75" style="43" customWidth="1"/>
    <col min="7940" max="7940" width="15.75" style="43" customWidth="1"/>
    <col min="7941" max="7942" width="15.25" style="43" customWidth="1"/>
    <col min="7943" max="7944" width="13.75" style="43" customWidth="1"/>
    <col min="7945" max="7945" width="15.875" style="43" customWidth="1"/>
    <col min="7946" max="8192" width="9" style="43"/>
    <col min="8193" max="8193" width="12.75" style="43" customWidth="1"/>
    <col min="8194" max="8194" width="18.375" style="43" customWidth="1"/>
    <col min="8195" max="8195" width="12.75" style="43" customWidth="1"/>
    <col min="8196" max="8196" width="15.75" style="43" customWidth="1"/>
    <col min="8197" max="8198" width="15.25" style="43" customWidth="1"/>
    <col min="8199" max="8200" width="13.75" style="43" customWidth="1"/>
    <col min="8201" max="8201" width="15.875" style="43" customWidth="1"/>
    <col min="8202" max="8448" width="9" style="43"/>
    <col min="8449" max="8449" width="12.75" style="43" customWidth="1"/>
    <col min="8450" max="8450" width="18.375" style="43" customWidth="1"/>
    <col min="8451" max="8451" width="12.75" style="43" customWidth="1"/>
    <col min="8452" max="8452" width="15.75" style="43" customWidth="1"/>
    <col min="8453" max="8454" width="15.25" style="43" customWidth="1"/>
    <col min="8455" max="8456" width="13.75" style="43" customWidth="1"/>
    <col min="8457" max="8457" width="15.875" style="43" customWidth="1"/>
    <col min="8458" max="8704" width="9" style="43"/>
    <col min="8705" max="8705" width="12.75" style="43" customWidth="1"/>
    <col min="8706" max="8706" width="18.375" style="43" customWidth="1"/>
    <col min="8707" max="8707" width="12.75" style="43" customWidth="1"/>
    <col min="8708" max="8708" width="15.75" style="43" customWidth="1"/>
    <col min="8709" max="8710" width="15.25" style="43" customWidth="1"/>
    <col min="8711" max="8712" width="13.75" style="43" customWidth="1"/>
    <col min="8713" max="8713" width="15.875" style="43" customWidth="1"/>
    <col min="8714" max="8960" width="9" style="43"/>
    <col min="8961" max="8961" width="12.75" style="43" customWidth="1"/>
    <col min="8962" max="8962" width="18.375" style="43" customWidth="1"/>
    <col min="8963" max="8963" width="12.75" style="43" customWidth="1"/>
    <col min="8964" max="8964" width="15.75" style="43" customWidth="1"/>
    <col min="8965" max="8966" width="15.25" style="43" customWidth="1"/>
    <col min="8967" max="8968" width="13.75" style="43" customWidth="1"/>
    <col min="8969" max="8969" width="15.875" style="43" customWidth="1"/>
    <col min="8970" max="9216" width="9" style="43"/>
    <col min="9217" max="9217" width="12.75" style="43" customWidth="1"/>
    <col min="9218" max="9218" width="18.375" style="43" customWidth="1"/>
    <col min="9219" max="9219" width="12.75" style="43" customWidth="1"/>
    <col min="9220" max="9220" width="15.75" style="43" customWidth="1"/>
    <col min="9221" max="9222" width="15.25" style="43" customWidth="1"/>
    <col min="9223" max="9224" width="13.75" style="43" customWidth="1"/>
    <col min="9225" max="9225" width="15.875" style="43" customWidth="1"/>
    <col min="9226" max="9472" width="9" style="43"/>
    <col min="9473" max="9473" width="12.75" style="43" customWidth="1"/>
    <col min="9474" max="9474" width="18.375" style="43" customWidth="1"/>
    <col min="9475" max="9475" width="12.75" style="43" customWidth="1"/>
    <col min="9476" max="9476" width="15.75" style="43" customWidth="1"/>
    <col min="9477" max="9478" width="15.25" style="43" customWidth="1"/>
    <col min="9479" max="9480" width="13.75" style="43" customWidth="1"/>
    <col min="9481" max="9481" width="15.875" style="43" customWidth="1"/>
    <col min="9482" max="9728" width="9" style="43"/>
    <col min="9729" max="9729" width="12.75" style="43" customWidth="1"/>
    <col min="9730" max="9730" width="18.375" style="43" customWidth="1"/>
    <col min="9731" max="9731" width="12.75" style="43" customWidth="1"/>
    <col min="9732" max="9732" width="15.75" style="43" customWidth="1"/>
    <col min="9733" max="9734" width="15.25" style="43" customWidth="1"/>
    <col min="9735" max="9736" width="13.75" style="43" customWidth="1"/>
    <col min="9737" max="9737" width="15.875" style="43" customWidth="1"/>
    <col min="9738" max="9984" width="9" style="43"/>
    <col min="9985" max="9985" width="12.75" style="43" customWidth="1"/>
    <col min="9986" max="9986" width="18.375" style="43" customWidth="1"/>
    <col min="9987" max="9987" width="12.75" style="43" customWidth="1"/>
    <col min="9988" max="9988" width="15.75" style="43" customWidth="1"/>
    <col min="9989" max="9990" width="15.25" style="43" customWidth="1"/>
    <col min="9991" max="9992" width="13.75" style="43" customWidth="1"/>
    <col min="9993" max="9993" width="15.875" style="43" customWidth="1"/>
    <col min="9994" max="10240" width="9" style="43"/>
    <col min="10241" max="10241" width="12.75" style="43" customWidth="1"/>
    <col min="10242" max="10242" width="18.375" style="43" customWidth="1"/>
    <col min="10243" max="10243" width="12.75" style="43" customWidth="1"/>
    <col min="10244" max="10244" width="15.75" style="43" customWidth="1"/>
    <col min="10245" max="10246" width="15.25" style="43" customWidth="1"/>
    <col min="10247" max="10248" width="13.75" style="43" customWidth="1"/>
    <col min="10249" max="10249" width="15.875" style="43" customWidth="1"/>
    <col min="10250" max="10496" width="9" style="43"/>
    <col min="10497" max="10497" width="12.75" style="43" customWidth="1"/>
    <col min="10498" max="10498" width="18.375" style="43" customWidth="1"/>
    <col min="10499" max="10499" width="12.75" style="43" customWidth="1"/>
    <col min="10500" max="10500" width="15.75" style="43" customWidth="1"/>
    <col min="10501" max="10502" width="15.25" style="43" customWidth="1"/>
    <col min="10503" max="10504" width="13.75" style="43" customWidth="1"/>
    <col min="10505" max="10505" width="15.875" style="43" customWidth="1"/>
    <col min="10506" max="10752" width="9" style="43"/>
    <col min="10753" max="10753" width="12.75" style="43" customWidth="1"/>
    <col min="10754" max="10754" width="18.375" style="43" customWidth="1"/>
    <col min="10755" max="10755" width="12.75" style="43" customWidth="1"/>
    <col min="10756" max="10756" width="15.75" style="43" customWidth="1"/>
    <col min="10757" max="10758" width="15.25" style="43" customWidth="1"/>
    <col min="10759" max="10760" width="13.75" style="43" customWidth="1"/>
    <col min="10761" max="10761" width="15.875" style="43" customWidth="1"/>
    <col min="10762" max="11008" width="9" style="43"/>
    <col min="11009" max="11009" width="12.75" style="43" customWidth="1"/>
    <col min="11010" max="11010" width="18.375" style="43" customWidth="1"/>
    <col min="11011" max="11011" width="12.75" style="43" customWidth="1"/>
    <col min="11012" max="11012" width="15.75" style="43" customWidth="1"/>
    <col min="11013" max="11014" width="15.25" style="43" customWidth="1"/>
    <col min="11015" max="11016" width="13.75" style="43" customWidth="1"/>
    <col min="11017" max="11017" width="15.875" style="43" customWidth="1"/>
    <col min="11018" max="11264" width="9" style="43"/>
    <col min="11265" max="11265" width="12.75" style="43" customWidth="1"/>
    <col min="11266" max="11266" width="18.375" style="43" customWidth="1"/>
    <col min="11267" max="11267" width="12.75" style="43" customWidth="1"/>
    <col min="11268" max="11268" width="15.75" style="43" customWidth="1"/>
    <col min="11269" max="11270" width="15.25" style="43" customWidth="1"/>
    <col min="11271" max="11272" width="13.75" style="43" customWidth="1"/>
    <col min="11273" max="11273" width="15.875" style="43" customWidth="1"/>
    <col min="11274" max="11520" width="9" style="43"/>
    <col min="11521" max="11521" width="12.75" style="43" customWidth="1"/>
    <col min="11522" max="11522" width="18.375" style="43" customWidth="1"/>
    <col min="11523" max="11523" width="12.75" style="43" customWidth="1"/>
    <col min="11524" max="11524" width="15.75" style="43" customWidth="1"/>
    <col min="11525" max="11526" width="15.25" style="43" customWidth="1"/>
    <col min="11527" max="11528" width="13.75" style="43" customWidth="1"/>
    <col min="11529" max="11529" width="15.875" style="43" customWidth="1"/>
    <col min="11530" max="11776" width="9" style="43"/>
    <col min="11777" max="11777" width="12.75" style="43" customWidth="1"/>
    <col min="11778" max="11778" width="18.375" style="43" customWidth="1"/>
    <col min="11779" max="11779" width="12.75" style="43" customWidth="1"/>
    <col min="11780" max="11780" width="15.75" style="43" customWidth="1"/>
    <col min="11781" max="11782" width="15.25" style="43" customWidth="1"/>
    <col min="11783" max="11784" width="13.75" style="43" customWidth="1"/>
    <col min="11785" max="11785" width="15.875" style="43" customWidth="1"/>
    <col min="11786" max="12032" width="9" style="43"/>
    <col min="12033" max="12033" width="12.75" style="43" customWidth="1"/>
    <col min="12034" max="12034" width="18.375" style="43" customWidth="1"/>
    <col min="12035" max="12035" width="12.75" style="43" customWidth="1"/>
    <col min="12036" max="12036" width="15.75" style="43" customWidth="1"/>
    <col min="12037" max="12038" width="15.25" style="43" customWidth="1"/>
    <col min="12039" max="12040" width="13.75" style="43" customWidth="1"/>
    <col min="12041" max="12041" width="15.875" style="43" customWidth="1"/>
    <col min="12042" max="12288" width="9" style="43"/>
    <col min="12289" max="12289" width="12.75" style="43" customWidth="1"/>
    <col min="12290" max="12290" width="18.375" style="43" customWidth="1"/>
    <col min="12291" max="12291" width="12.75" style="43" customWidth="1"/>
    <col min="12292" max="12292" width="15.75" style="43" customWidth="1"/>
    <col min="12293" max="12294" width="15.25" style="43" customWidth="1"/>
    <col min="12295" max="12296" width="13.75" style="43" customWidth="1"/>
    <col min="12297" max="12297" width="15.875" style="43" customWidth="1"/>
    <col min="12298" max="12544" width="9" style="43"/>
    <col min="12545" max="12545" width="12.75" style="43" customWidth="1"/>
    <col min="12546" max="12546" width="18.375" style="43" customWidth="1"/>
    <col min="12547" max="12547" width="12.75" style="43" customWidth="1"/>
    <col min="12548" max="12548" width="15.75" style="43" customWidth="1"/>
    <col min="12549" max="12550" width="15.25" style="43" customWidth="1"/>
    <col min="12551" max="12552" width="13.75" style="43" customWidth="1"/>
    <col min="12553" max="12553" width="15.875" style="43" customWidth="1"/>
    <col min="12554" max="12800" width="9" style="43"/>
    <col min="12801" max="12801" width="12.75" style="43" customWidth="1"/>
    <col min="12802" max="12802" width="18.375" style="43" customWidth="1"/>
    <col min="12803" max="12803" width="12.75" style="43" customWidth="1"/>
    <col min="12804" max="12804" width="15.75" style="43" customWidth="1"/>
    <col min="12805" max="12806" width="15.25" style="43" customWidth="1"/>
    <col min="12807" max="12808" width="13.75" style="43" customWidth="1"/>
    <col min="12809" max="12809" width="15.875" style="43" customWidth="1"/>
    <col min="12810" max="13056" width="9" style="43"/>
    <col min="13057" max="13057" width="12.75" style="43" customWidth="1"/>
    <col min="13058" max="13058" width="18.375" style="43" customWidth="1"/>
    <col min="13059" max="13059" width="12.75" style="43" customWidth="1"/>
    <col min="13060" max="13060" width="15.75" style="43" customWidth="1"/>
    <col min="13061" max="13062" width="15.25" style="43" customWidth="1"/>
    <col min="13063" max="13064" width="13.75" style="43" customWidth="1"/>
    <col min="13065" max="13065" width="15.875" style="43" customWidth="1"/>
    <col min="13066" max="13312" width="9" style="43"/>
    <col min="13313" max="13313" width="12.75" style="43" customWidth="1"/>
    <col min="13314" max="13314" width="18.375" style="43" customWidth="1"/>
    <col min="13315" max="13315" width="12.75" style="43" customWidth="1"/>
    <col min="13316" max="13316" width="15.75" style="43" customWidth="1"/>
    <col min="13317" max="13318" width="15.25" style="43" customWidth="1"/>
    <col min="13319" max="13320" width="13.75" style="43" customWidth="1"/>
    <col min="13321" max="13321" width="15.875" style="43" customWidth="1"/>
    <col min="13322" max="13568" width="9" style="43"/>
    <col min="13569" max="13569" width="12.75" style="43" customWidth="1"/>
    <col min="13570" max="13570" width="18.375" style="43" customWidth="1"/>
    <col min="13571" max="13571" width="12.75" style="43" customWidth="1"/>
    <col min="13572" max="13572" width="15.75" style="43" customWidth="1"/>
    <col min="13573" max="13574" width="15.25" style="43" customWidth="1"/>
    <col min="13575" max="13576" width="13.75" style="43" customWidth="1"/>
    <col min="13577" max="13577" width="15.875" style="43" customWidth="1"/>
    <col min="13578" max="13824" width="9" style="43"/>
    <col min="13825" max="13825" width="12.75" style="43" customWidth="1"/>
    <col min="13826" max="13826" width="18.375" style="43" customWidth="1"/>
    <col min="13827" max="13827" width="12.75" style="43" customWidth="1"/>
    <col min="13828" max="13828" width="15.75" style="43" customWidth="1"/>
    <col min="13829" max="13830" width="15.25" style="43" customWidth="1"/>
    <col min="13831" max="13832" width="13.75" style="43" customWidth="1"/>
    <col min="13833" max="13833" width="15.875" style="43" customWidth="1"/>
    <col min="13834" max="14080" width="9" style="43"/>
    <col min="14081" max="14081" width="12.75" style="43" customWidth="1"/>
    <col min="14082" max="14082" width="18.375" style="43" customWidth="1"/>
    <col min="14083" max="14083" width="12.75" style="43" customWidth="1"/>
    <col min="14084" max="14084" width="15.75" style="43" customWidth="1"/>
    <col min="14085" max="14086" width="15.25" style="43" customWidth="1"/>
    <col min="14087" max="14088" width="13.75" style="43" customWidth="1"/>
    <col min="14089" max="14089" width="15.875" style="43" customWidth="1"/>
    <col min="14090" max="14336" width="9" style="43"/>
    <col min="14337" max="14337" width="12.75" style="43" customWidth="1"/>
    <col min="14338" max="14338" width="18.375" style="43" customWidth="1"/>
    <col min="14339" max="14339" width="12.75" style="43" customWidth="1"/>
    <col min="14340" max="14340" width="15.75" style="43" customWidth="1"/>
    <col min="14341" max="14342" width="15.25" style="43" customWidth="1"/>
    <col min="14343" max="14344" width="13.75" style="43" customWidth="1"/>
    <col min="14345" max="14345" width="15.875" style="43" customWidth="1"/>
    <col min="14346" max="14592" width="9" style="43"/>
    <col min="14593" max="14593" width="12.75" style="43" customWidth="1"/>
    <col min="14594" max="14594" width="18.375" style="43" customWidth="1"/>
    <col min="14595" max="14595" width="12.75" style="43" customWidth="1"/>
    <col min="14596" max="14596" width="15.75" style="43" customWidth="1"/>
    <col min="14597" max="14598" width="15.25" style="43" customWidth="1"/>
    <col min="14599" max="14600" width="13.75" style="43" customWidth="1"/>
    <col min="14601" max="14601" width="15.875" style="43" customWidth="1"/>
    <col min="14602" max="14848" width="9" style="43"/>
    <col min="14849" max="14849" width="12.75" style="43" customWidth="1"/>
    <col min="14850" max="14850" width="18.375" style="43" customWidth="1"/>
    <col min="14851" max="14851" width="12.75" style="43" customWidth="1"/>
    <col min="14852" max="14852" width="15.75" style="43" customWidth="1"/>
    <col min="14853" max="14854" width="15.25" style="43" customWidth="1"/>
    <col min="14855" max="14856" width="13.75" style="43" customWidth="1"/>
    <col min="14857" max="14857" width="15.875" style="43" customWidth="1"/>
    <col min="14858" max="15104" width="9" style="43"/>
    <col min="15105" max="15105" width="12.75" style="43" customWidth="1"/>
    <col min="15106" max="15106" width="18.375" style="43" customWidth="1"/>
    <col min="15107" max="15107" width="12.75" style="43" customWidth="1"/>
    <col min="15108" max="15108" width="15.75" style="43" customWidth="1"/>
    <col min="15109" max="15110" width="15.25" style="43" customWidth="1"/>
    <col min="15111" max="15112" width="13.75" style="43" customWidth="1"/>
    <col min="15113" max="15113" width="15.875" style="43" customWidth="1"/>
    <col min="15114" max="15360" width="9" style="43"/>
    <col min="15361" max="15361" width="12.75" style="43" customWidth="1"/>
    <col min="15362" max="15362" width="18.375" style="43" customWidth="1"/>
    <col min="15363" max="15363" width="12.75" style="43" customWidth="1"/>
    <col min="15364" max="15364" width="15.75" style="43" customWidth="1"/>
    <col min="15365" max="15366" width="15.25" style="43" customWidth="1"/>
    <col min="15367" max="15368" width="13.75" style="43" customWidth="1"/>
    <col min="15369" max="15369" width="15.875" style="43" customWidth="1"/>
    <col min="15370" max="15616" width="9" style="43"/>
    <col min="15617" max="15617" width="12.75" style="43" customWidth="1"/>
    <col min="15618" max="15618" width="18.375" style="43" customWidth="1"/>
    <col min="15619" max="15619" width="12.75" style="43" customWidth="1"/>
    <col min="15620" max="15620" width="15.75" style="43" customWidth="1"/>
    <col min="15621" max="15622" width="15.25" style="43" customWidth="1"/>
    <col min="15623" max="15624" width="13.75" style="43" customWidth="1"/>
    <col min="15625" max="15625" width="15.875" style="43" customWidth="1"/>
    <col min="15626" max="15872" width="9" style="43"/>
    <col min="15873" max="15873" width="12.75" style="43" customWidth="1"/>
    <col min="15874" max="15874" width="18.375" style="43" customWidth="1"/>
    <col min="15875" max="15875" width="12.75" style="43" customWidth="1"/>
    <col min="15876" max="15876" width="15.75" style="43" customWidth="1"/>
    <col min="15877" max="15878" width="15.25" style="43" customWidth="1"/>
    <col min="15879" max="15880" width="13.75" style="43" customWidth="1"/>
    <col min="15881" max="15881" width="15.875" style="43" customWidth="1"/>
    <col min="15882" max="16128" width="9" style="43"/>
    <col min="16129" max="16129" width="12.75" style="43" customWidth="1"/>
    <col min="16130" max="16130" width="18.375" style="43" customWidth="1"/>
    <col min="16131" max="16131" width="12.75" style="43" customWidth="1"/>
    <col min="16132" max="16132" width="15.75" style="43" customWidth="1"/>
    <col min="16133" max="16134" width="15.25" style="43" customWidth="1"/>
    <col min="16135" max="16136" width="13.75" style="43" customWidth="1"/>
    <col min="16137" max="16137" width="15.875" style="43" customWidth="1"/>
    <col min="16138" max="16384" width="9" style="43"/>
  </cols>
  <sheetData>
    <row r="1" spans="1:9">
      <c r="A1" s="771" t="s">
        <v>264</v>
      </c>
      <c r="B1" s="771"/>
      <c r="C1" s="771"/>
      <c r="D1" s="771"/>
      <c r="E1" s="771"/>
      <c r="F1" s="771"/>
      <c r="G1" s="771"/>
      <c r="H1" s="771"/>
      <c r="I1" s="771"/>
    </row>
    <row r="2" spans="1:9">
      <c r="A2" s="771" t="s">
        <v>282</v>
      </c>
      <c r="B2" s="771"/>
      <c r="C2" s="771"/>
      <c r="D2" s="771"/>
      <c r="E2" s="771"/>
      <c r="F2" s="771"/>
      <c r="G2" s="771"/>
      <c r="H2" s="771"/>
      <c r="I2" s="771"/>
    </row>
    <row r="3" spans="1:9">
      <c r="A3" s="771" t="s">
        <v>1009</v>
      </c>
      <c r="B3" s="771"/>
      <c r="C3" s="771"/>
      <c r="D3" s="771"/>
      <c r="E3" s="771"/>
      <c r="F3" s="771"/>
      <c r="G3" s="771"/>
      <c r="H3" s="771"/>
      <c r="I3" s="771"/>
    </row>
    <row r="5" spans="1:9">
      <c r="A5" s="773" t="s">
        <v>65</v>
      </c>
      <c r="B5" s="775" t="s">
        <v>50</v>
      </c>
      <c r="C5" s="775" t="s">
        <v>39</v>
      </c>
      <c r="D5" s="777" t="s">
        <v>66</v>
      </c>
      <c r="E5" s="777" t="s">
        <v>283</v>
      </c>
      <c r="F5" s="777" t="s">
        <v>87</v>
      </c>
      <c r="G5" s="777" t="s">
        <v>88</v>
      </c>
      <c r="H5" s="779" t="s">
        <v>89</v>
      </c>
      <c r="I5" s="777" t="s">
        <v>35</v>
      </c>
    </row>
    <row r="6" spans="1:9" ht="57" customHeight="1">
      <c r="A6" s="774"/>
      <c r="B6" s="776"/>
      <c r="C6" s="776"/>
      <c r="D6" s="778"/>
      <c r="E6" s="778"/>
      <c r="F6" s="778"/>
      <c r="G6" s="778"/>
      <c r="H6" s="780"/>
      <c r="I6" s="778"/>
    </row>
    <row r="7" spans="1:9">
      <c r="A7" s="50" t="s">
        <v>96</v>
      </c>
      <c r="B7" s="50"/>
      <c r="C7" s="50"/>
      <c r="D7" s="54"/>
      <c r="E7" s="54"/>
      <c r="F7" s="54"/>
      <c r="G7" s="54"/>
      <c r="H7" s="54"/>
      <c r="I7" s="54"/>
    </row>
    <row r="8" spans="1:9">
      <c r="A8" s="52" t="s">
        <v>69</v>
      </c>
      <c r="B8" s="53" t="s">
        <v>121</v>
      </c>
      <c r="C8" s="53" t="s">
        <v>197</v>
      </c>
      <c r="D8" s="54"/>
      <c r="E8" s="54"/>
      <c r="F8" s="54"/>
      <c r="G8" s="54"/>
      <c r="H8" s="54"/>
      <c r="I8" s="54">
        <f t="shared" ref="I8:I17" si="0">SUM(E8:H8)</f>
        <v>0</v>
      </c>
    </row>
    <row r="9" spans="1:9">
      <c r="A9" s="52"/>
      <c r="B9" s="53" t="s">
        <v>269</v>
      </c>
      <c r="C9" s="53" t="s">
        <v>197</v>
      </c>
      <c r="D9" s="54">
        <f>'Sheet3 (โอน)'!D46</f>
        <v>1253760</v>
      </c>
      <c r="E9" s="54">
        <f>'Sheet3 (โอน)'!E46</f>
        <v>1209420</v>
      </c>
      <c r="F9" s="54"/>
      <c r="G9" s="54"/>
      <c r="H9" s="54"/>
      <c r="I9" s="54">
        <f t="shared" si="0"/>
        <v>1209420</v>
      </c>
    </row>
    <row r="10" spans="1:9">
      <c r="A10" s="52" t="s">
        <v>70</v>
      </c>
      <c r="B10" s="53" t="s">
        <v>270</v>
      </c>
      <c r="C10" s="53" t="s">
        <v>197</v>
      </c>
      <c r="D10" s="54">
        <f>'Sheet3 (โอน)'!D102</f>
        <v>148200</v>
      </c>
      <c r="E10" s="54">
        <f>'Sheet3 (โอน)'!E102</f>
        <v>36500</v>
      </c>
      <c r="F10" s="54"/>
      <c r="G10" s="54"/>
      <c r="H10" s="54"/>
      <c r="I10" s="54">
        <f t="shared" si="0"/>
        <v>36500</v>
      </c>
    </row>
    <row r="11" spans="1:9">
      <c r="A11" s="52"/>
      <c r="B11" s="53" t="s">
        <v>271</v>
      </c>
      <c r="C11" s="53" t="s">
        <v>197</v>
      </c>
      <c r="D11" s="54">
        <f>'Sheet3 (โอน)'!D195+'Sheet3 (โอน)'!D199+'Sheet3 (โอน)'!D203+'Sheet3 (โอน)'!D209</f>
        <v>788650</v>
      </c>
      <c r="E11" s="54">
        <f>'Sheet3 (โอน)'!E195</f>
        <v>32974</v>
      </c>
      <c r="F11" s="54">
        <f>'Sheet3 (โอน)'!E199</f>
        <v>0</v>
      </c>
      <c r="G11" s="54">
        <f>'Sheet3 (โอน)'!E203</f>
        <v>27000</v>
      </c>
      <c r="H11" s="54">
        <f>'Sheet3 (โอน)'!E209</f>
        <v>204300</v>
      </c>
      <c r="I11" s="54">
        <f t="shared" si="0"/>
        <v>264274</v>
      </c>
    </row>
    <row r="12" spans="1:9">
      <c r="A12" s="52"/>
      <c r="B12" s="53" t="s">
        <v>272</v>
      </c>
      <c r="C12" s="53" t="s">
        <v>197</v>
      </c>
      <c r="D12" s="54">
        <f>'Sheet3 (โอน)'!D273+'Sheet3 (โอน)'!D277</f>
        <v>223825</v>
      </c>
      <c r="E12" s="54">
        <f>'Sheet3 (โอน)'!E273</f>
        <v>36934</v>
      </c>
      <c r="F12" s="54">
        <f>'Sheet3 (โอน)'!E277</f>
        <v>90800</v>
      </c>
      <c r="G12" s="54"/>
      <c r="H12" s="54"/>
      <c r="I12" s="54">
        <f t="shared" si="0"/>
        <v>127734</v>
      </c>
    </row>
    <row r="13" spans="1:9">
      <c r="A13" s="52"/>
      <c r="B13" s="53" t="s">
        <v>74</v>
      </c>
      <c r="C13" s="53" t="s">
        <v>197</v>
      </c>
      <c r="D13" s="54">
        <v>0</v>
      </c>
      <c r="E13" s="54">
        <v>0</v>
      </c>
      <c r="F13" s="54">
        <v>0</v>
      </c>
      <c r="G13" s="54"/>
      <c r="H13" s="54"/>
      <c r="I13" s="54">
        <f t="shared" si="0"/>
        <v>0</v>
      </c>
    </row>
    <row r="14" spans="1:9">
      <c r="A14" s="52" t="s">
        <v>75</v>
      </c>
      <c r="B14" s="53" t="s">
        <v>273</v>
      </c>
      <c r="C14" s="53" t="s">
        <v>197</v>
      </c>
      <c r="D14" s="54">
        <f>'Sheet3 (โอน)'!D349+'Sheet3 (โอน)'!D378</f>
        <v>40500</v>
      </c>
      <c r="E14" s="54">
        <f>'Sheet3 (โอน)'!E349+'Sheet3 (โอน)'!E378</f>
        <v>40500</v>
      </c>
      <c r="F14" s="54">
        <v>0</v>
      </c>
      <c r="G14" s="54"/>
      <c r="H14" s="54"/>
      <c r="I14" s="54">
        <f t="shared" si="0"/>
        <v>40500</v>
      </c>
    </row>
    <row r="15" spans="1:9">
      <c r="A15" s="52"/>
      <c r="B15" s="53" t="s">
        <v>274</v>
      </c>
      <c r="C15" s="53" t="s">
        <v>197</v>
      </c>
      <c r="D15" s="54">
        <f>'Sheet3 (โอน)'!D419</f>
        <v>3236345</v>
      </c>
      <c r="E15" s="54"/>
      <c r="F15" s="54">
        <f>'Sheet3 (โอน)'!E419</f>
        <v>2903000</v>
      </c>
      <c r="G15" s="54"/>
      <c r="H15" s="54"/>
      <c r="I15" s="54">
        <f t="shared" si="0"/>
        <v>2903000</v>
      </c>
    </row>
    <row r="16" spans="1:9">
      <c r="A16" s="52" t="s">
        <v>78</v>
      </c>
      <c r="B16" s="53" t="s">
        <v>79</v>
      </c>
      <c r="C16" s="53" t="s">
        <v>197</v>
      </c>
      <c r="D16" s="54"/>
      <c r="E16" s="54"/>
      <c r="F16" s="54"/>
      <c r="G16" s="54"/>
      <c r="H16" s="54"/>
      <c r="I16" s="54">
        <f t="shared" si="0"/>
        <v>0</v>
      </c>
    </row>
    <row r="17" spans="1:9">
      <c r="A17" s="52" t="s">
        <v>80</v>
      </c>
      <c r="B17" s="53" t="s">
        <v>275</v>
      </c>
      <c r="C17" s="53" t="s">
        <v>197</v>
      </c>
      <c r="D17" s="54"/>
      <c r="E17" s="54"/>
      <c r="F17" s="54"/>
      <c r="G17" s="54"/>
      <c r="H17" s="54"/>
      <c r="I17" s="54">
        <f t="shared" si="0"/>
        <v>0</v>
      </c>
    </row>
    <row r="18" spans="1:9">
      <c r="A18" s="768" t="s">
        <v>35</v>
      </c>
      <c r="B18" s="769"/>
      <c r="C18" s="770"/>
      <c r="D18" s="55">
        <f t="shared" ref="D18:I18" si="1">SUM(D8:D17)</f>
        <v>5691280</v>
      </c>
      <c r="E18" s="55">
        <f t="shared" si="1"/>
        <v>1356328</v>
      </c>
      <c r="F18" s="55">
        <f t="shared" si="1"/>
        <v>2993800</v>
      </c>
      <c r="G18" s="55">
        <f t="shared" si="1"/>
        <v>27000</v>
      </c>
      <c r="H18" s="55">
        <f t="shared" si="1"/>
        <v>204300</v>
      </c>
      <c r="I18" s="60">
        <f t="shared" si="1"/>
        <v>4581428</v>
      </c>
    </row>
    <row r="20" spans="1:9" s="293" customFormat="1" ht="21">
      <c r="A20" s="293" t="s">
        <v>64</v>
      </c>
      <c r="D20" s="321"/>
      <c r="E20" s="321"/>
      <c r="F20" s="321"/>
      <c r="G20" s="321"/>
      <c r="H20" s="321"/>
      <c r="I20" s="321"/>
    </row>
  </sheetData>
  <mergeCells count="13">
    <mergeCell ref="H5:H6"/>
    <mergeCell ref="I5:I6"/>
    <mergeCell ref="A18:C18"/>
    <mergeCell ref="A1:I1"/>
    <mergeCell ref="A2:I2"/>
    <mergeCell ref="A3:I3"/>
    <mergeCell ref="A5:A6"/>
    <mergeCell ref="B5:B6"/>
    <mergeCell ref="C5:C6"/>
    <mergeCell ref="D5:D6"/>
    <mergeCell ref="E5:E6"/>
    <mergeCell ref="F5:F6"/>
    <mergeCell ref="G5:G6"/>
  </mergeCells>
  <pageMargins left="0.34" right="0.2" top="0.41" bottom="0.37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F11" sqref="F11"/>
    </sheetView>
  </sheetViews>
  <sheetFormatPr defaultColWidth="23.375" defaultRowHeight="24.75"/>
  <cols>
    <col min="1" max="1" width="15.375" style="43" customWidth="1"/>
    <col min="2" max="2" width="20.625" style="43" customWidth="1"/>
    <col min="3" max="3" width="18.625" style="43" customWidth="1"/>
    <col min="4" max="4" width="16.5" style="56" customWidth="1"/>
    <col min="5" max="5" width="18.375" style="56" customWidth="1"/>
    <col min="6" max="6" width="21.125" style="56" customWidth="1"/>
    <col min="7" max="7" width="20.375" style="56" customWidth="1"/>
    <col min="8" max="256" width="23.375" style="43"/>
    <col min="257" max="257" width="14.25" style="43" customWidth="1"/>
    <col min="258" max="258" width="19.25" style="43" customWidth="1"/>
    <col min="259" max="259" width="17.625" style="43" customWidth="1"/>
    <col min="260" max="260" width="16.5" style="43" customWidth="1"/>
    <col min="261" max="261" width="18.375" style="43" customWidth="1"/>
    <col min="262" max="262" width="16.625" style="43" customWidth="1"/>
    <col min="263" max="263" width="25.75" style="43" customWidth="1"/>
    <col min="264" max="512" width="23.375" style="43"/>
    <col min="513" max="513" width="14.25" style="43" customWidth="1"/>
    <col min="514" max="514" width="19.25" style="43" customWidth="1"/>
    <col min="515" max="515" width="17.625" style="43" customWidth="1"/>
    <col min="516" max="516" width="16.5" style="43" customWidth="1"/>
    <col min="517" max="517" width="18.375" style="43" customWidth="1"/>
    <col min="518" max="518" width="16.625" style="43" customWidth="1"/>
    <col min="519" max="519" width="25.75" style="43" customWidth="1"/>
    <col min="520" max="768" width="23.375" style="43"/>
    <col min="769" max="769" width="14.25" style="43" customWidth="1"/>
    <col min="770" max="770" width="19.25" style="43" customWidth="1"/>
    <col min="771" max="771" width="17.625" style="43" customWidth="1"/>
    <col min="772" max="772" width="16.5" style="43" customWidth="1"/>
    <col min="773" max="773" width="18.375" style="43" customWidth="1"/>
    <col min="774" max="774" width="16.625" style="43" customWidth="1"/>
    <col min="775" max="775" width="25.75" style="43" customWidth="1"/>
    <col min="776" max="1024" width="23.375" style="43"/>
    <col min="1025" max="1025" width="14.25" style="43" customWidth="1"/>
    <col min="1026" max="1026" width="19.25" style="43" customWidth="1"/>
    <col min="1027" max="1027" width="17.625" style="43" customWidth="1"/>
    <col min="1028" max="1028" width="16.5" style="43" customWidth="1"/>
    <col min="1029" max="1029" width="18.375" style="43" customWidth="1"/>
    <col min="1030" max="1030" width="16.625" style="43" customWidth="1"/>
    <col min="1031" max="1031" width="25.75" style="43" customWidth="1"/>
    <col min="1032" max="1280" width="23.375" style="43"/>
    <col min="1281" max="1281" width="14.25" style="43" customWidth="1"/>
    <col min="1282" max="1282" width="19.25" style="43" customWidth="1"/>
    <col min="1283" max="1283" width="17.625" style="43" customWidth="1"/>
    <col min="1284" max="1284" width="16.5" style="43" customWidth="1"/>
    <col min="1285" max="1285" width="18.375" style="43" customWidth="1"/>
    <col min="1286" max="1286" width="16.625" style="43" customWidth="1"/>
    <col min="1287" max="1287" width="25.75" style="43" customWidth="1"/>
    <col min="1288" max="1536" width="23.375" style="43"/>
    <col min="1537" max="1537" width="14.25" style="43" customWidth="1"/>
    <col min="1538" max="1538" width="19.25" style="43" customWidth="1"/>
    <col min="1539" max="1539" width="17.625" style="43" customWidth="1"/>
    <col min="1540" max="1540" width="16.5" style="43" customWidth="1"/>
    <col min="1541" max="1541" width="18.375" style="43" customWidth="1"/>
    <col min="1542" max="1542" width="16.625" style="43" customWidth="1"/>
    <col min="1543" max="1543" width="25.75" style="43" customWidth="1"/>
    <col min="1544" max="1792" width="23.375" style="43"/>
    <col min="1793" max="1793" width="14.25" style="43" customWidth="1"/>
    <col min="1794" max="1794" width="19.25" style="43" customWidth="1"/>
    <col min="1795" max="1795" width="17.625" style="43" customWidth="1"/>
    <col min="1796" max="1796" width="16.5" style="43" customWidth="1"/>
    <col min="1797" max="1797" width="18.375" style="43" customWidth="1"/>
    <col min="1798" max="1798" width="16.625" style="43" customWidth="1"/>
    <col min="1799" max="1799" width="25.75" style="43" customWidth="1"/>
    <col min="1800" max="2048" width="23.375" style="43"/>
    <col min="2049" max="2049" width="14.25" style="43" customWidth="1"/>
    <col min="2050" max="2050" width="19.25" style="43" customWidth="1"/>
    <col min="2051" max="2051" width="17.625" style="43" customWidth="1"/>
    <col min="2052" max="2052" width="16.5" style="43" customWidth="1"/>
    <col min="2053" max="2053" width="18.375" style="43" customWidth="1"/>
    <col min="2054" max="2054" width="16.625" style="43" customWidth="1"/>
    <col min="2055" max="2055" width="25.75" style="43" customWidth="1"/>
    <col min="2056" max="2304" width="23.375" style="43"/>
    <col min="2305" max="2305" width="14.25" style="43" customWidth="1"/>
    <col min="2306" max="2306" width="19.25" style="43" customWidth="1"/>
    <col min="2307" max="2307" width="17.625" style="43" customWidth="1"/>
    <col min="2308" max="2308" width="16.5" style="43" customWidth="1"/>
    <col min="2309" max="2309" width="18.375" style="43" customWidth="1"/>
    <col min="2310" max="2310" width="16.625" style="43" customWidth="1"/>
    <col min="2311" max="2311" width="25.75" style="43" customWidth="1"/>
    <col min="2312" max="2560" width="23.375" style="43"/>
    <col min="2561" max="2561" width="14.25" style="43" customWidth="1"/>
    <col min="2562" max="2562" width="19.25" style="43" customWidth="1"/>
    <col min="2563" max="2563" width="17.625" style="43" customWidth="1"/>
    <col min="2564" max="2564" width="16.5" style="43" customWidth="1"/>
    <col min="2565" max="2565" width="18.375" style="43" customWidth="1"/>
    <col min="2566" max="2566" width="16.625" style="43" customWidth="1"/>
    <col min="2567" max="2567" width="25.75" style="43" customWidth="1"/>
    <col min="2568" max="2816" width="23.375" style="43"/>
    <col min="2817" max="2817" width="14.25" style="43" customWidth="1"/>
    <col min="2818" max="2818" width="19.25" style="43" customWidth="1"/>
    <col min="2819" max="2819" width="17.625" style="43" customWidth="1"/>
    <col min="2820" max="2820" width="16.5" style="43" customWidth="1"/>
    <col min="2821" max="2821" width="18.375" style="43" customWidth="1"/>
    <col min="2822" max="2822" width="16.625" style="43" customWidth="1"/>
    <col min="2823" max="2823" width="25.75" style="43" customWidth="1"/>
    <col min="2824" max="3072" width="23.375" style="43"/>
    <col min="3073" max="3073" width="14.25" style="43" customWidth="1"/>
    <col min="3074" max="3074" width="19.25" style="43" customWidth="1"/>
    <col min="3075" max="3075" width="17.625" style="43" customWidth="1"/>
    <col min="3076" max="3076" width="16.5" style="43" customWidth="1"/>
    <col min="3077" max="3077" width="18.375" style="43" customWidth="1"/>
    <col min="3078" max="3078" width="16.625" style="43" customWidth="1"/>
    <col min="3079" max="3079" width="25.75" style="43" customWidth="1"/>
    <col min="3080" max="3328" width="23.375" style="43"/>
    <col min="3329" max="3329" width="14.25" style="43" customWidth="1"/>
    <col min="3330" max="3330" width="19.25" style="43" customWidth="1"/>
    <col min="3331" max="3331" width="17.625" style="43" customWidth="1"/>
    <col min="3332" max="3332" width="16.5" style="43" customWidth="1"/>
    <col min="3333" max="3333" width="18.375" style="43" customWidth="1"/>
    <col min="3334" max="3334" width="16.625" style="43" customWidth="1"/>
    <col min="3335" max="3335" width="25.75" style="43" customWidth="1"/>
    <col min="3336" max="3584" width="23.375" style="43"/>
    <col min="3585" max="3585" width="14.25" style="43" customWidth="1"/>
    <col min="3586" max="3586" width="19.25" style="43" customWidth="1"/>
    <col min="3587" max="3587" width="17.625" style="43" customWidth="1"/>
    <col min="3588" max="3588" width="16.5" style="43" customWidth="1"/>
    <col min="3589" max="3589" width="18.375" style="43" customWidth="1"/>
    <col min="3590" max="3590" width="16.625" style="43" customWidth="1"/>
    <col min="3591" max="3591" width="25.75" style="43" customWidth="1"/>
    <col min="3592" max="3840" width="23.375" style="43"/>
    <col min="3841" max="3841" width="14.25" style="43" customWidth="1"/>
    <col min="3842" max="3842" width="19.25" style="43" customWidth="1"/>
    <col min="3843" max="3843" width="17.625" style="43" customWidth="1"/>
    <col min="3844" max="3844" width="16.5" style="43" customWidth="1"/>
    <col min="3845" max="3845" width="18.375" style="43" customWidth="1"/>
    <col min="3846" max="3846" width="16.625" style="43" customWidth="1"/>
    <col min="3847" max="3847" width="25.75" style="43" customWidth="1"/>
    <col min="3848" max="4096" width="23.375" style="43"/>
    <col min="4097" max="4097" width="14.25" style="43" customWidth="1"/>
    <col min="4098" max="4098" width="19.25" style="43" customWidth="1"/>
    <col min="4099" max="4099" width="17.625" style="43" customWidth="1"/>
    <col min="4100" max="4100" width="16.5" style="43" customWidth="1"/>
    <col min="4101" max="4101" width="18.375" style="43" customWidth="1"/>
    <col min="4102" max="4102" width="16.625" style="43" customWidth="1"/>
    <col min="4103" max="4103" width="25.75" style="43" customWidth="1"/>
    <col min="4104" max="4352" width="23.375" style="43"/>
    <col min="4353" max="4353" width="14.25" style="43" customWidth="1"/>
    <col min="4354" max="4354" width="19.25" style="43" customWidth="1"/>
    <col min="4355" max="4355" width="17.625" style="43" customWidth="1"/>
    <col min="4356" max="4356" width="16.5" style="43" customWidth="1"/>
    <col min="4357" max="4357" width="18.375" style="43" customWidth="1"/>
    <col min="4358" max="4358" width="16.625" style="43" customWidth="1"/>
    <col min="4359" max="4359" width="25.75" style="43" customWidth="1"/>
    <col min="4360" max="4608" width="23.375" style="43"/>
    <col min="4609" max="4609" width="14.25" style="43" customWidth="1"/>
    <col min="4610" max="4610" width="19.25" style="43" customWidth="1"/>
    <col min="4611" max="4611" width="17.625" style="43" customWidth="1"/>
    <col min="4612" max="4612" width="16.5" style="43" customWidth="1"/>
    <col min="4613" max="4613" width="18.375" style="43" customWidth="1"/>
    <col min="4614" max="4614" width="16.625" style="43" customWidth="1"/>
    <col min="4615" max="4615" width="25.75" style="43" customWidth="1"/>
    <col min="4616" max="4864" width="23.375" style="43"/>
    <col min="4865" max="4865" width="14.25" style="43" customWidth="1"/>
    <col min="4866" max="4866" width="19.25" style="43" customWidth="1"/>
    <col min="4867" max="4867" width="17.625" style="43" customWidth="1"/>
    <col min="4868" max="4868" width="16.5" style="43" customWidth="1"/>
    <col min="4869" max="4869" width="18.375" style="43" customWidth="1"/>
    <col min="4870" max="4870" width="16.625" style="43" customWidth="1"/>
    <col min="4871" max="4871" width="25.75" style="43" customWidth="1"/>
    <col min="4872" max="5120" width="23.375" style="43"/>
    <col min="5121" max="5121" width="14.25" style="43" customWidth="1"/>
    <col min="5122" max="5122" width="19.25" style="43" customWidth="1"/>
    <col min="5123" max="5123" width="17.625" style="43" customWidth="1"/>
    <col min="5124" max="5124" width="16.5" style="43" customWidth="1"/>
    <col min="5125" max="5125" width="18.375" style="43" customWidth="1"/>
    <col min="5126" max="5126" width="16.625" style="43" customWidth="1"/>
    <col min="5127" max="5127" width="25.75" style="43" customWidth="1"/>
    <col min="5128" max="5376" width="23.375" style="43"/>
    <col min="5377" max="5377" width="14.25" style="43" customWidth="1"/>
    <col min="5378" max="5378" width="19.25" style="43" customWidth="1"/>
    <col min="5379" max="5379" width="17.625" style="43" customWidth="1"/>
    <col min="5380" max="5380" width="16.5" style="43" customWidth="1"/>
    <col min="5381" max="5381" width="18.375" style="43" customWidth="1"/>
    <col min="5382" max="5382" width="16.625" style="43" customWidth="1"/>
    <col min="5383" max="5383" width="25.75" style="43" customWidth="1"/>
    <col min="5384" max="5632" width="23.375" style="43"/>
    <col min="5633" max="5633" width="14.25" style="43" customWidth="1"/>
    <col min="5634" max="5634" width="19.25" style="43" customWidth="1"/>
    <col min="5635" max="5635" width="17.625" style="43" customWidth="1"/>
    <col min="5636" max="5636" width="16.5" style="43" customWidth="1"/>
    <col min="5637" max="5637" width="18.375" style="43" customWidth="1"/>
    <col min="5638" max="5638" width="16.625" style="43" customWidth="1"/>
    <col min="5639" max="5639" width="25.75" style="43" customWidth="1"/>
    <col min="5640" max="5888" width="23.375" style="43"/>
    <col min="5889" max="5889" width="14.25" style="43" customWidth="1"/>
    <col min="5890" max="5890" width="19.25" style="43" customWidth="1"/>
    <col min="5891" max="5891" width="17.625" style="43" customWidth="1"/>
    <col min="5892" max="5892" width="16.5" style="43" customWidth="1"/>
    <col min="5893" max="5893" width="18.375" style="43" customWidth="1"/>
    <col min="5894" max="5894" width="16.625" style="43" customWidth="1"/>
    <col min="5895" max="5895" width="25.75" style="43" customWidth="1"/>
    <col min="5896" max="6144" width="23.375" style="43"/>
    <col min="6145" max="6145" width="14.25" style="43" customWidth="1"/>
    <col min="6146" max="6146" width="19.25" style="43" customWidth="1"/>
    <col min="6147" max="6147" width="17.625" style="43" customWidth="1"/>
    <col min="6148" max="6148" width="16.5" style="43" customWidth="1"/>
    <col min="6149" max="6149" width="18.375" style="43" customWidth="1"/>
    <col min="6150" max="6150" width="16.625" style="43" customWidth="1"/>
    <col min="6151" max="6151" width="25.75" style="43" customWidth="1"/>
    <col min="6152" max="6400" width="23.375" style="43"/>
    <col min="6401" max="6401" width="14.25" style="43" customWidth="1"/>
    <col min="6402" max="6402" width="19.25" style="43" customWidth="1"/>
    <col min="6403" max="6403" width="17.625" style="43" customWidth="1"/>
    <col min="6404" max="6404" width="16.5" style="43" customWidth="1"/>
    <col min="6405" max="6405" width="18.375" style="43" customWidth="1"/>
    <col min="6406" max="6406" width="16.625" style="43" customWidth="1"/>
    <col min="6407" max="6407" width="25.75" style="43" customWidth="1"/>
    <col min="6408" max="6656" width="23.375" style="43"/>
    <col min="6657" max="6657" width="14.25" style="43" customWidth="1"/>
    <col min="6658" max="6658" width="19.25" style="43" customWidth="1"/>
    <col min="6659" max="6659" width="17.625" style="43" customWidth="1"/>
    <col min="6660" max="6660" width="16.5" style="43" customWidth="1"/>
    <col min="6661" max="6661" width="18.375" style="43" customWidth="1"/>
    <col min="6662" max="6662" width="16.625" style="43" customWidth="1"/>
    <col min="6663" max="6663" width="25.75" style="43" customWidth="1"/>
    <col min="6664" max="6912" width="23.375" style="43"/>
    <col min="6913" max="6913" width="14.25" style="43" customWidth="1"/>
    <col min="6914" max="6914" width="19.25" style="43" customWidth="1"/>
    <col min="6915" max="6915" width="17.625" style="43" customWidth="1"/>
    <col min="6916" max="6916" width="16.5" style="43" customWidth="1"/>
    <col min="6917" max="6917" width="18.375" style="43" customWidth="1"/>
    <col min="6918" max="6918" width="16.625" style="43" customWidth="1"/>
    <col min="6919" max="6919" width="25.75" style="43" customWidth="1"/>
    <col min="6920" max="7168" width="23.375" style="43"/>
    <col min="7169" max="7169" width="14.25" style="43" customWidth="1"/>
    <col min="7170" max="7170" width="19.25" style="43" customWidth="1"/>
    <col min="7171" max="7171" width="17.625" style="43" customWidth="1"/>
    <col min="7172" max="7172" width="16.5" style="43" customWidth="1"/>
    <col min="7173" max="7173" width="18.375" style="43" customWidth="1"/>
    <col min="7174" max="7174" width="16.625" style="43" customWidth="1"/>
    <col min="7175" max="7175" width="25.75" style="43" customWidth="1"/>
    <col min="7176" max="7424" width="23.375" style="43"/>
    <col min="7425" max="7425" width="14.25" style="43" customWidth="1"/>
    <col min="7426" max="7426" width="19.25" style="43" customWidth="1"/>
    <col min="7427" max="7427" width="17.625" style="43" customWidth="1"/>
    <col min="7428" max="7428" width="16.5" style="43" customWidth="1"/>
    <col min="7429" max="7429" width="18.375" style="43" customWidth="1"/>
    <col min="7430" max="7430" width="16.625" style="43" customWidth="1"/>
    <col min="7431" max="7431" width="25.75" style="43" customWidth="1"/>
    <col min="7432" max="7680" width="23.375" style="43"/>
    <col min="7681" max="7681" width="14.25" style="43" customWidth="1"/>
    <col min="7682" max="7682" width="19.25" style="43" customWidth="1"/>
    <col min="7683" max="7683" width="17.625" style="43" customWidth="1"/>
    <col min="7684" max="7684" width="16.5" style="43" customWidth="1"/>
    <col min="7685" max="7685" width="18.375" style="43" customWidth="1"/>
    <col min="7686" max="7686" width="16.625" style="43" customWidth="1"/>
    <col min="7687" max="7687" width="25.75" style="43" customWidth="1"/>
    <col min="7688" max="7936" width="23.375" style="43"/>
    <col min="7937" max="7937" width="14.25" style="43" customWidth="1"/>
    <col min="7938" max="7938" width="19.25" style="43" customWidth="1"/>
    <col min="7939" max="7939" width="17.625" style="43" customWidth="1"/>
    <col min="7940" max="7940" width="16.5" style="43" customWidth="1"/>
    <col min="7941" max="7941" width="18.375" style="43" customWidth="1"/>
    <col min="7942" max="7942" width="16.625" style="43" customWidth="1"/>
    <col min="7943" max="7943" width="25.75" style="43" customWidth="1"/>
    <col min="7944" max="8192" width="23.375" style="43"/>
    <col min="8193" max="8193" width="14.25" style="43" customWidth="1"/>
    <col min="8194" max="8194" width="19.25" style="43" customWidth="1"/>
    <col min="8195" max="8195" width="17.625" style="43" customWidth="1"/>
    <col min="8196" max="8196" width="16.5" style="43" customWidth="1"/>
    <col min="8197" max="8197" width="18.375" style="43" customWidth="1"/>
    <col min="8198" max="8198" width="16.625" style="43" customWidth="1"/>
    <col min="8199" max="8199" width="25.75" style="43" customWidth="1"/>
    <col min="8200" max="8448" width="23.375" style="43"/>
    <col min="8449" max="8449" width="14.25" style="43" customWidth="1"/>
    <col min="8450" max="8450" width="19.25" style="43" customWidth="1"/>
    <col min="8451" max="8451" width="17.625" style="43" customWidth="1"/>
    <col min="8452" max="8452" width="16.5" style="43" customWidth="1"/>
    <col min="8453" max="8453" width="18.375" style="43" customWidth="1"/>
    <col min="8454" max="8454" width="16.625" style="43" customWidth="1"/>
    <col min="8455" max="8455" width="25.75" style="43" customWidth="1"/>
    <col min="8456" max="8704" width="23.375" style="43"/>
    <col min="8705" max="8705" width="14.25" style="43" customWidth="1"/>
    <col min="8706" max="8706" width="19.25" style="43" customWidth="1"/>
    <col min="8707" max="8707" width="17.625" style="43" customWidth="1"/>
    <col min="8708" max="8708" width="16.5" style="43" customWidth="1"/>
    <col min="8709" max="8709" width="18.375" style="43" customWidth="1"/>
    <col min="8710" max="8710" width="16.625" style="43" customWidth="1"/>
    <col min="8711" max="8711" width="25.75" style="43" customWidth="1"/>
    <col min="8712" max="8960" width="23.375" style="43"/>
    <col min="8961" max="8961" width="14.25" style="43" customWidth="1"/>
    <col min="8962" max="8962" width="19.25" style="43" customWidth="1"/>
    <col min="8963" max="8963" width="17.625" style="43" customWidth="1"/>
    <col min="8964" max="8964" width="16.5" style="43" customWidth="1"/>
    <col min="8965" max="8965" width="18.375" style="43" customWidth="1"/>
    <col min="8966" max="8966" width="16.625" style="43" customWidth="1"/>
    <col min="8967" max="8967" width="25.75" style="43" customWidth="1"/>
    <col min="8968" max="9216" width="23.375" style="43"/>
    <col min="9217" max="9217" width="14.25" style="43" customWidth="1"/>
    <col min="9218" max="9218" width="19.25" style="43" customWidth="1"/>
    <col min="9219" max="9219" width="17.625" style="43" customWidth="1"/>
    <col min="9220" max="9220" width="16.5" style="43" customWidth="1"/>
    <col min="9221" max="9221" width="18.375" style="43" customWidth="1"/>
    <col min="9222" max="9222" width="16.625" style="43" customWidth="1"/>
    <col min="9223" max="9223" width="25.75" style="43" customWidth="1"/>
    <col min="9224" max="9472" width="23.375" style="43"/>
    <col min="9473" max="9473" width="14.25" style="43" customWidth="1"/>
    <col min="9474" max="9474" width="19.25" style="43" customWidth="1"/>
    <col min="9475" max="9475" width="17.625" style="43" customWidth="1"/>
    <col min="9476" max="9476" width="16.5" style="43" customWidth="1"/>
    <col min="9477" max="9477" width="18.375" style="43" customWidth="1"/>
    <col min="9478" max="9478" width="16.625" style="43" customWidth="1"/>
    <col min="9479" max="9479" width="25.75" style="43" customWidth="1"/>
    <col min="9480" max="9728" width="23.375" style="43"/>
    <col min="9729" max="9729" width="14.25" style="43" customWidth="1"/>
    <col min="9730" max="9730" width="19.25" style="43" customWidth="1"/>
    <col min="9731" max="9731" width="17.625" style="43" customWidth="1"/>
    <col min="9732" max="9732" width="16.5" style="43" customWidth="1"/>
    <col min="9733" max="9733" width="18.375" style="43" customWidth="1"/>
    <col min="9734" max="9734" width="16.625" style="43" customWidth="1"/>
    <col min="9735" max="9735" width="25.75" style="43" customWidth="1"/>
    <col min="9736" max="9984" width="23.375" style="43"/>
    <col min="9985" max="9985" width="14.25" style="43" customWidth="1"/>
    <col min="9986" max="9986" width="19.25" style="43" customWidth="1"/>
    <col min="9987" max="9987" width="17.625" style="43" customWidth="1"/>
    <col min="9988" max="9988" width="16.5" style="43" customWidth="1"/>
    <col min="9989" max="9989" width="18.375" style="43" customWidth="1"/>
    <col min="9990" max="9990" width="16.625" style="43" customWidth="1"/>
    <col min="9991" max="9991" width="25.75" style="43" customWidth="1"/>
    <col min="9992" max="10240" width="23.375" style="43"/>
    <col min="10241" max="10241" width="14.25" style="43" customWidth="1"/>
    <col min="10242" max="10242" width="19.25" style="43" customWidth="1"/>
    <col min="10243" max="10243" width="17.625" style="43" customWidth="1"/>
    <col min="10244" max="10244" width="16.5" style="43" customWidth="1"/>
    <col min="10245" max="10245" width="18.375" style="43" customWidth="1"/>
    <col min="10246" max="10246" width="16.625" style="43" customWidth="1"/>
    <col min="10247" max="10247" width="25.75" style="43" customWidth="1"/>
    <col min="10248" max="10496" width="23.375" style="43"/>
    <col min="10497" max="10497" width="14.25" style="43" customWidth="1"/>
    <col min="10498" max="10498" width="19.25" style="43" customWidth="1"/>
    <col min="10499" max="10499" width="17.625" style="43" customWidth="1"/>
    <col min="10500" max="10500" width="16.5" style="43" customWidth="1"/>
    <col min="10501" max="10501" width="18.375" style="43" customWidth="1"/>
    <col min="10502" max="10502" width="16.625" style="43" customWidth="1"/>
    <col min="10503" max="10503" width="25.75" style="43" customWidth="1"/>
    <col min="10504" max="10752" width="23.375" style="43"/>
    <col min="10753" max="10753" width="14.25" style="43" customWidth="1"/>
    <col min="10754" max="10754" width="19.25" style="43" customWidth="1"/>
    <col min="10755" max="10755" width="17.625" style="43" customWidth="1"/>
    <col min="10756" max="10756" width="16.5" style="43" customWidth="1"/>
    <col min="10757" max="10757" width="18.375" style="43" customWidth="1"/>
    <col min="10758" max="10758" width="16.625" style="43" customWidth="1"/>
    <col min="10759" max="10759" width="25.75" style="43" customWidth="1"/>
    <col min="10760" max="11008" width="23.375" style="43"/>
    <col min="11009" max="11009" width="14.25" style="43" customWidth="1"/>
    <col min="11010" max="11010" width="19.25" style="43" customWidth="1"/>
    <col min="11011" max="11011" width="17.625" style="43" customWidth="1"/>
    <col min="11012" max="11012" width="16.5" style="43" customWidth="1"/>
    <col min="11013" max="11013" width="18.375" style="43" customWidth="1"/>
    <col min="11014" max="11014" width="16.625" style="43" customWidth="1"/>
    <col min="11015" max="11015" width="25.75" style="43" customWidth="1"/>
    <col min="11016" max="11264" width="23.375" style="43"/>
    <col min="11265" max="11265" width="14.25" style="43" customWidth="1"/>
    <col min="11266" max="11266" width="19.25" style="43" customWidth="1"/>
    <col min="11267" max="11267" width="17.625" style="43" customWidth="1"/>
    <col min="11268" max="11268" width="16.5" style="43" customWidth="1"/>
    <col min="11269" max="11269" width="18.375" style="43" customWidth="1"/>
    <col min="11270" max="11270" width="16.625" style="43" customWidth="1"/>
    <col min="11271" max="11271" width="25.75" style="43" customWidth="1"/>
    <col min="11272" max="11520" width="23.375" style="43"/>
    <col min="11521" max="11521" width="14.25" style="43" customWidth="1"/>
    <col min="11522" max="11522" width="19.25" style="43" customWidth="1"/>
    <col min="11523" max="11523" width="17.625" style="43" customWidth="1"/>
    <col min="11524" max="11524" width="16.5" style="43" customWidth="1"/>
    <col min="11525" max="11525" width="18.375" style="43" customWidth="1"/>
    <col min="11526" max="11526" width="16.625" style="43" customWidth="1"/>
    <col min="11527" max="11527" width="25.75" style="43" customWidth="1"/>
    <col min="11528" max="11776" width="23.375" style="43"/>
    <col min="11777" max="11777" width="14.25" style="43" customWidth="1"/>
    <col min="11778" max="11778" width="19.25" style="43" customWidth="1"/>
    <col min="11779" max="11779" width="17.625" style="43" customWidth="1"/>
    <col min="11780" max="11780" width="16.5" style="43" customWidth="1"/>
    <col min="11781" max="11781" width="18.375" style="43" customWidth="1"/>
    <col min="11782" max="11782" width="16.625" style="43" customWidth="1"/>
    <col min="11783" max="11783" width="25.75" style="43" customWidth="1"/>
    <col min="11784" max="12032" width="23.375" style="43"/>
    <col min="12033" max="12033" width="14.25" style="43" customWidth="1"/>
    <col min="12034" max="12034" width="19.25" style="43" customWidth="1"/>
    <col min="12035" max="12035" width="17.625" style="43" customWidth="1"/>
    <col min="12036" max="12036" width="16.5" style="43" customWidth="1"/>
    <col min="12037" max="12037" width="18.375" style="43" customWidth="1"/>
    <col min="12038" max="12038" width="16.625" style="43" customWidth="1"/>
    <col min="12039" max="12039" width="25.75" style="43" customWidth="1"/>
    <col min="12040" max="12288" width="23.375" style="43"/>
    <col min="12289" max="12289" width="14.25" style="43" customWidth="1"/>
    <col min="12290" max="12290" width="19.25" style="43" customWidth="1"/>
    <col min="12291" max="12291" width="17.625" style="43" customWidth="1"/>
    <col min="12292" max="12292" width="16.5" style="43" customWidth="1"/>
    <col min="12293" max="12293" width="18.375" style="43" customWidth="1"/>
    <col min="12294" max="12294" width="16.625" style="43" customWidth="1"/>
    <col min="12295" max="12295" width="25.75" style="43" customWidth="1"/>
    <col min="12296" max="12544" width="23.375" style="43"/>
    <col min="12545" max="12545" width="14.25" style="43" customWidth="1"/>
    <col min="12546" max="12546" width="19.25" style="43" customWidth="1"/>
    <col min="12547" max="12547" width="17.625" style="43" customWidth="1"/>
    <col min="12548" max="12548" width="16.5" style="43" customWidth="1"/>
    <col min="12549" max="12549" width="18.375" style="43" customWidth="1"/>
    <col min="12550" max="12550" width="16.625" style="43" customWidth="1"/>
    <col min="12551" max="12551" width="25.75" style="43" customWidth="1"/>
    <col min="12552" max="12800" width="23.375" style="43"/>
    <col min="12801" max="12801" width="14.25" style="43" customWidth="1"/>
    <col min="12802" max="12802" width="19.25" style="43" customWidth="1"/>
    <col min="12803" max="12803" width="17.625" style="43" customWidth="1"/>
    <col min="12804" max="12804" width="16.5" style="43" customWidth="1"/>
    <col min="12805" max="12805" width="18.375" style="43" customWidth="1"/>
    <col min="12806" max="12806" width="16.625" style="43" customWidth="1"/>
    <col min="12807" max="12807" width="25.75" style="43" customWidth="1"/>
    <col min="12808" max="13056" width="23.375" style="43"/>
    <col min="13057" max="13057" width="14.25" style="43" customWidth="1"/>
    <col min="13058" max="13058" width="19.25" style="43" customWidth="1"/>
    <col min="13059" max="13059" width="17.625" style="43" customWidth="1"/>
    <col min="13060" max="13060" width="16.5" style="43" customWidth="1"/>
    <col min="13061" max="13061" width="18.375" style="43" customWidth="1"/>
    <col min="13062" max="13062" width="16.625" style="43" customWidth="1"/>
    <col min="13063" max="13063" width="25.75" style="43" customWidth="1"/>
    <col min="13064" max="13312" width="23.375" style="43"/>
    <col min="13313" max="13313" width="14.25" style="43" customWidth="1"/>
    <col min="13314" max="13314" width="19.25" style="43" customWidth="1"/>
    <col min="13315" max="13315" width="17.625" style="43" customWidth="1"/>
    <col min="13316" max="13316" width="16.5" style="43" customWidth="1"/>
    <col min="13317" max="13317" width="18.375" style="43" customWidth="1"/>
    <col min="13318" max="13318" width="16.625" style="43" customWidth="1"/>
    <col min="13319" max="13319" width="25.75" style="43" customWidth="1"/>
    <col min="13320" max="13568" width="23.375" style="43"/>
    <col min="13569" max="13569" width="14.25" style="43" customWidth="1"/>
    <col min="13570" max="13570" width="19.25" style="43" customWidth="1"/>
    <col min="13571" max="13571" width="17.625" style="43" customWidth="1"/>
    <col min="13572" max="13572" width="16.5" style="43" customWidth="1"/>
    <col min="13573" max="13573" width="18.375" style="43" customWidth="1"/>
    <col min="13574" max="13574" width="16.625" style="43" customWidth="1"/>
    <col min="13575" max="13575" width="25.75" style="43" customWidth="1"/>
    <col min="13576" max="13824" width="23.375" style="43"/>
    <col min="13825" max="13825" width="14.25" style="43" customWidth="1"/>
    <col min="13826" max="13826" width="19.25" style="43" customWidth="1"/>
    <col min="13827" max="13827" width="17.625" style="43" customWidth="1"/>
    <col min="13828" max="13828" width="16.5" style="43" customWidth="1"/>
    <col min="13829" max="13829" width="18.375" style="43" customWidth="1"/>
    <col min="13830" max="13830" width="16.625" style="43" customWidth="1"/>
    <col min="13831" max="13831" width="25.75" style="43" customWidth="1"/>
    <col min="13832" max="14080" width="23.375" style="43"/>
    <col min="14081" max="14081" width="14.25" style="43" customWidth="1"/>
    <col min="14082" max="14082" width="19.25" style="43" customWidth="1"/>
    <col min="14083" max="14083" width="17.625" style="43" customWidth="1"/>
    <col min="14084" max="14084" width="16.5" style="43" customWidth="1"/>
    <col min="14085" max="14085" width="18.375" style="43" customWidth="1"/>
    <col min="14086" max="14086" width="16.625" style="43" customWidth="1"/>
    <col min="14087" max="14087" width="25.75" style="43" customWidth="1"/>
    <col min="14088" max="14336" width="23.375" style="43"/>
    <col min="14337" max="14337" width="14.25" style="43" customWidth="1"/>
    <col min="14338" max="14338" width="19.25" style="43" customWidth="1"/>
    <col min="14339" max="14339" width="17.625" style="43" customWidth="1"/>
    <col min="14340" max="14340" width="16.5" style="43" customWidth="1"/>
    <col min="14341" max="14341" width="18.375" style="43" customWidth="1"/>
    <col min="14342" max="14342" width="16.625" style="43" customWidth="1"/>
    <col min="14343" max="14343" width="25.75" style="43" customWidth="1"/>
    <col min="14344" max="14592" width="23.375" style="43"/>
    <col min="14593" max="14593" width="14.25" style="43" customWidth="1"/>
    <col min="14594" max="14594" width="19.25" style="43" customWidth="1"/>
    <col min="14595" max="14595" width="17.625" style="43" customWidth="1"/>
    <col min="14596" max="14596" width="16.5" style="43" customWidth="1"/>
    <col min="14597" max="14597" width="18.375" style="43" customWidth="1"/>
    <col min="14598" max="14598" width="16.625" style="43" customWidth="1"/>
    <col min="14599" max="14599" width="25.75" style="43" customWidth="1"/>
    <col min="14600" max="14848" width="23.375" style="43"/>
    <col min="14849" max="14849" width="14.25" style="43" customWidth="1"/>
    <col min="14850" max="14850" width="19.25" style="43" customWidth="1"/>
    <col min="14851" max="14851" width="17.625" style="43" customWidth="1"/>
    <col min="14852" max="14852" width="16.5" style="43" customWidth="1"/>
    <col min="14853" max="14853" width="18.375" style="43" customWidth="1"/>
    <col min="14854" max="14854" width="16.625" style="43" customWidth="1"/>
    <col min="14855" max="14855" width="25.75" style="43" customWidth="1"/>
    <col min="14856" max="15104" width="23.375" style="43"/>
    <col min="15105" max="15105" width="14.25" style="43" customWidth="1"/>
    <col min="15106" max="15106" width="19.25" style="43" customWidth="1"/>
    <col min="15107" max="15107" width="17.625" style="43" customWidth="1"/>
    <col min="15108" max="15108" width="16.5" style="43" customWidth="1"/>
    <col min="15109" max="15109" width="18.375" style="43" customWidth="1"/>
    <col min="15110" max="15110" width="16.625" style="43" customWidth="1"/>
    <col min="15111" max="15111" width="25.75" style="43" customWidth="1"/>
    <col min="15112" max="15360" width="23.375" style="43"/>
    <col min="15361" max="15361" width="14.25" style="43" customWidth="1"/>
    <col min="15362" max="15362" width="19.25" style="43" customWidth="1"/>
    <col min="15363" max="15363" width="17.625" style="43" customWidth="1"/>
    <col min="15364" max="15364" width="16.5" style="43" customWidth="1"/>
    <col min="15365" max="15365" width="18.375" style="43" customWidth="1"/>
    <col min="15366" max="15366" width="16.625" style="43" customWidth="1"/>
    <col min="15367" max="15367" width="25.75" style="43" customWidth="1"/>
    <col min="15368" max="15616" width="23.375" style="43"/>
    <col min="15617" max="15617" width="14.25" style="43" customWidth="1"/>
    <col min="15618" max="15618" width="19.25" style="43" customWidth="1"/>
    <col min="15619" max="15619" width="17.625" style="43" customWidth="1"/>
    <col min="15620" max="15620" width="16.5" style="43" customWidth="1"/>
    <col min="15621" max="15621" width="18.375" style="43" customWidth="1"/>
    <col min="15622" max="15622" width="16.625" style="43" customWidth="1"/>
    <col min="15623" max="15623" width="25.75" style="43" customWidth="1"/>
    <col min="15624" max="15872" width="23.375" style="43"/>
    <col min="15873" max="15873" width="14.25" style="43" customWidth="1"/>
    <col min="15874" max="15874" width="19.25" style="43" customWidth="1"/>
    <col min="15875" max="15875" width="17.625" style="43" customWidth="1"/>
    <col min="15876" max="15876" width="16.5" style="43" customWidth="1"/>
    <col min="15877" max="15877" width="18.375" style="43" customWidth="1"/>
    <col min="15878" max="15878" width="16.625" style="43" customWidth="1"/>
    <col min="15879" max="15879" width="25.75" style="43" customWidth="1"/>
    <col min="15880" max="16128" width="23.375" style="43"/>
    <col min="16129" max="16129" width="14.25" style="43" customWidth="1"/>
    <col min="16130" max="16130" width="19.25" style="43" customWidth="1"/>
    <col min="16131" max="16131" width="17.625" style="43" customWidth="1"/>
    <col min="16132" max="16132" width="16.5" style="43" customWidth="1"/>
    <col min="16133" max="16133" width="18.375" style="43" customWidth="1"/>
    <col min="16134" max="16134" width="16.625" style="43" customWidth="1"/>
    <col min="16135" max="16135" width="25.75" style="43" customWidth="1"/>
    <col min="16136" max="16384" width="23.375" style="43"/>
  </cols>
  <sheetData>
    <row r="1" spans="1:7">
      <c r="A1" s="771" t="s">
        <v>264</v>
      </c>
      <c r="B1" s="771"/>
      <c r="C1" s="771"/>
      <c r="D1" s="771"/>
      <c r="E1" s="771"/>
      <c r="F1" s="771"/>
      <c r="G1" s="771"/>
    </row>
    <row r="2" spans="1:7">
      <c r="A2" s="771" t="s">
        <v>284</v>
      </c>
      <c r="B2" s="771"/>
      <c r="C2" s="771"/>
      <c r="D2" s="771"/>
      <c r="E2" s="771"/>
      <c r="F2" s="771"/>
      <c r="G2" s="771"/>
    </row>
    <row r="3" spans="1:7">
      <c r="A3" s="771" t="s">
        <v>1010</v>
      </c>
      <c r="B3" s="771"/>
      <c r="C3" s="771"/>
      <c r="D3" s="771"/>
      <c r="E3" s="771"/>
      <c r="F3" s="771"/>
      <c r="G3" s="771"/>
    </row>
    <row r="5" spans="1:7">
      <c r="A5" s="773" t="s">
        <v>65</v>
      </c>
      <c r="B5" s="775" t="s">
        <v>50</v>
      </c>
      <c r="C5" s="775" t="s">
        <v>39</v>
      </c>
      <c r="D5" s="777" t="s">
        <v>66</v>
      </c>
      <c r="E5" s="777" t="s">
        <v>129</v>
      </c>
      <c r="F5" s="777" t="s">
        <v>285</v>
      </c>
      <c r="G5" s="777" t="s">
        <v>35</v>
      </c>
    </row>
    <row r="6" spans="1:7" ht="75.75" customHeight="1">
      <c r="A6" s="774"/>
      <c r="B6" s="776"/>
      <c r="C6" s="776"/>
      <c r="D6" s="778"/>
      <c r="E6" s="778"/>
      <c r="F6" s="778"/>
      <c r="G6" s="778"/>
    </row>
    <row r="7" spans="1:7">
      <c r="A7" s="50" t="s">
        <v>96</v>
      </c>
      <c r="B7" s="50"/>
      <c r="C7" s="50"/>
      <c r="D7" s="54"/>
      <c r="E7" s="54"/>
      <c r="F7" s="54"/>
      <c r="G7" s="54"/>
    </row>
    <row r="8" spans="1:7">
      <c r="A8" s="52" t="s">
        <v>69</v>
      </c>
      <c r="B8" s="53" t="s">
        <v>268</v>
      </c>
      <c r="C8" s="53" t="s">
        <v>197</v>
      </c>
      <c r="D8" s="54"/>
      <c r="E8" s="54"/>
      <c r="F8" s="54"/>
      <c r="G8" s="54">
        <f>SUM(E8:F8)</f>
        <v>0</v>
      </c>
    </row>
    <row r="9" spans="1:7">
      <c r="A9" s="52"/>
      <c r="B9" s="53" t="s">
        <v>269</v>
      </c>
      <c r="C9" s="53" t="s">
        <v>197</v>
      </c>
      <c r="D9" s="54"/>
      <c r="E9" s="54"/>
      <c r="F9" s="54"/>
      <c r="G9" s="54">
        <f>SUM(E9:F9)</f>
        <v>0</v>
      </c>
    </row>
    <row r="10" spans="1:7">
      <c r="A10" s="52" t="s">
        <v>70</v>
      </c>
      <c r="B10" s="53" t="s">
        <v>270</v>
      </c>
      <c r="C10" s="53" t="s">
        <v>197</v>
      </c>
      <c r="D10" s="54"/>
      <c r="E10" s="54"/>
      <c r="F10" s="54"/>
      <c r="G10" s="54">
        <f>SUM(E10:F10)</f>
        <v>0</v>
      </c>
    </row>
    <row r="11" spans="1:7">
      <c r="A11" s="52"/>
      <c r="B11" s="53" t="s">
        <v>271</v>
      </c>
      <c r="C11" s="53" t="s">
        <v>197</v>
      </c>
      <c r="D11" s="54">
        <f>'Sheet3 (โอน)'!D236</f>
        <v>138190</v>
      </c>
      <c r="E11" s="54"/>
      <c r="F11" s="54">
        <f>'Sheet3 (โอน)'!E236</f>
        <v>107225</v>
      </c>
      <c r="G11" s="54">
        <f>SUM(E11:F11)</f>
        <v>107225</v>
      </c>
    </row>
    <row r="12" spans="1:7">
      <c r="A12" s="52"/>
      <c r="B12" s="53" t="s">
        <v>272</v>
      </c>
      <c r="C12" s="53" t="s">
        <v>197</v>
      </c>
      <c r="D12" s="54"/>
      <c r="E12" s="54"/>
      <c r="F12" s="54"/>
      <c r="G12" s="54">
        <f t="shared" ref="G12:G17" si="0">SUM(E12:F12)</f>
        <v>0</v>
      </c>
    </row>
    <row r="13" spans="1:7">
      <c r="A13" s="52"/>
      <c r="B13" s="53" t="s">
        <v>74</v>
      </c>
      <c r="C13" s="53" t="s">
        <v>197</v>
      </c>
      <c r="D13" s="54"/>
      <c r="E13" s="54"/>
      <c r="F13" s="54"/>
      <c r="G13" s="54">
        <f t="shared" si="0"/>
        <v>0</v>
      </c>
    </row>
    <row r="14" spans="1:7">
      <c r="A14" s="52" t="s">
        <v>75</v>
      </c>
      <c r="B14" s="53" t="s">
        <v>273</v>
      </c>
      <c r="C14" s="53" t="s">
        <v>197</v>
      </c>
      <c r="D14" s="54"/>
      <c r="E14" s="54"/>
      <c r="F14" s="54"/>
      <c r="G14" s="54">
        <f t="shared" si="0"/>
        <v>0</v>
      </c>
    </row>
    <row r="15" spans="1:7">
      <c r="A15" s="52"/>
      <c r="B15" s="53" t="s">
        <v>274</v>
      </c>
      <c r="C15" s="53" t="s">
        <v>197</v>
      </c>
      <c r="D15" s="54"/>
      <c r="E15" s="54"/>
      <c r="F15" s="54"/>
      <c r="G15" s="54">
        <f t="shared" si="0"/>
        <v>0</v>
      </c>
    </row>
    <row r="16" spans="1:7">
      <c r="A16" s="52" t="s">
        <v>78</v>
      </c>
      <c r="B16" s="53" t="s">
        <v>79</v>
      </c>
      <c r="C16" s="53" t="s">
        <v>197</v>
      </c>
      <c r="D16" s="54"/>
      <c r="E16" s="54"/>
      <c r="F16" s="54"/>
      <c r="G16" s="54">
        <f t="shared" si="0"/>
        <v>0</v>
      </c>
    </row>
    <row r="17" spans="1:9">
      <c r="A17" s="52" t="s">
        <v>80</v>
      </c>
      <c r="B17" s="53" t="s">
        <v>275</v>
      </c>
      <c r="C17" s="53" t="s">
        <v>197</v>
      </c>
      <c r="D17" s="54">
        <f>'Sheet3 (โอน)'!D329</f>
        <v>25000</v>
      </c>
      <c r="E17" s="54"/>
      <c r="F17" s="54">
        <f>'Sheet3 (โอน)'!E329</f>
        <v>25000</v>
      </c>
      <c r="G17" s="54">
        <f t="shared" si="0"/>
        <v>25000</v>
      </c>
    </row>
    <row r="18" spans="1:9">
      <c r="A18" s="768" t="s">
        <v>35</v>
      </c>
      <c r="B18" s="769"/>
      <c r="C18" s="770"/>
      <c r="D18" s="55">
        <f>SUM(D8:D17)</f>
        <v>163190</v>
      </c>
      <c r="E18" s="55">
        <f>SUM(E8:E17)</f>
        <v>0</v>
      </c>
      <c r="F18" s="55">
        <f>SUM(F8:F17)</f>
        <v>132225</v>
      </c>
      <c r="G18" s="55">
        <f>SUM(G8:G17)</f>
        <v>132225</v>
      </c>
    </row>
    <row r="20" spans="1:9" s="293" customFormat="1" ht="21">
      <c r="A20" s="293" t="s">
        <v>64</v>
      </c>
      <c r="D20" s="321"/>
      <c r="E20" s="321"/>
      <c r="F20" s="321"/>
      <c r="G20" s="321"/>
      <c r="H20" s="321"/>
      <c r="I20" s="321"/>
    </row>
  </sheetData>
  <mergeCells count="11">
    <mergeCell ref="A18:C18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0.46" right="0.2" top="0.28000000000000003" bottom="0.2" header="0.2" footer="0.2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F11" sqref="F11"/>
    </sheetView>
  </sheetViews>
  <sheetFormatPr defaultRowHeight="24.75"/>
  <cols>
    <col min="1" max="1" width="14.75" style="43" customWidth="1"/>
    <col min="2" max="2" width="22.25" style="43" customWidth="1"/>
    <col min="3" max="3" width="18.5" style="43" customWidth="1"/>
    <col min="4" max="4" width="16.375" style="56" customWidth="1"/>
    <col min="5" max="5" width="17.375" style="56" customWidth="1"/>
    <col min="6" max="6" width="16.75" style="56" customWidth="1"/>
    <col min="7" max="7" width="20.625" style="56" customWidth="1"/>
    <col min="8" max="256" width="9" style="43"/>
    <col min="257" max="257" width="14.75" style="43" customWidth="1"/>
    <col min="258" max="258" width="20.5" style="43" customWidth="1"/>
    <col min="259" max="259" width="18.5" style="43" customWidth="1"/>
    <col min="260" max="260" width="16.375" style="43" customWidth="1"/>
    <col min="261" max="261" width="17.375" style="43" customWidth="1"/>
    <col min="262" max="262" width="16.75" style="43" customWidth="1"/>
    <col min="263" max="263" width="20.625" style="43" customWidth="1"/>
    <col min="264" max="512" width="9" style="43"/>
    <col min="513" max="513" width="14.75" style="43" customWidth="1"/>
    <col min="514" max="514" width="20.5" style="43" customWidth="1"/>
    <col min="515" max="515" width="18.5" style="43" customWidth="1"/>
    <col min="516" max="516" width="16.375" style="43" customWidth="1"/>
    <col min="517" max="517" width="17.375" style="43" customWidth="1"/>
    <col min="518" max="518" width="16.75" style="43" customWidth="1"/>
    <col min="519" max="519" width="20.625" style="43" customWidth="1"/>
    <col min="520" max="768" width="9" style="43"/>
    <col min="769" max="769" width="14.75" style="43" customWidth="1"/>
    <col min="770" max="770" width="20.5" style="43" customWidth="1"/>
    <col min="771" max="771" width="18.5" style="43" customWidth="1"/>
    <col min="772" max="772" width="16.375" style="43" customWidth="1"/>
    <col min="773" max="773" width="17.375" style="43" customWidth="1"/>
    <col min="774" max="774" width="16.75" style="43" customWidth="1"/>
    <col min="775" max="775" width="20.625" style="43" customWidth="1"/>
    <col min="776" max="1024" width="9" style="43"/>
    <col min="1025" max="1025" width="14.75" style="43" customWidth="1"/>
    <col min="1026" max="1026" width="20.5" style="43" customWidth="1"/>
    <col min="1027" max="1027" width="18.5" style="43" customWidth="1"/>
    <col min="1028" max="1028" width="16.375" style="43" customWidth="1"/>
    <col min="1029" max="1029" width="17.375" style="43" customWidth="1"/>
    <col min="1030" max="1030" width="16.75" style="43" customWidth="1"/>
    <col min="1031" max="1031" width="20.625" style="43" customWidth="1"/>
    <col min="1032" max="1280" width="9" style="43"/>
    <col min="1281" max="1281" width="14.75" style="43" customWidth="1"/>
    <col min="1282" max="1282" width="20.5" style="43" customWidth="1"/>
    <col min="1283" max="1283" width="18.5" style="43" customWidth="1"/>
    <col min="1284" max="1284" width="16.375" style="43" customWidth="1"/>
    <col min="1285" max="1285" width="17.375" style="43" customWidth="1"/>
    <col min="1286" max="1286" width="16.75" style="43" customWidth="1"/>
    <col min="1287" max="1287" width="20.625" style="43" customWidth="1"/>
    <col min="1288" max="1536" width="9" style="43"/>
    <col min="1537" max="1537" width="14.75" style="43" customWidth="1"/>
    <col min="1538" max="1538" width="20.5" style="43" customWidth="1"/>
    <col min="1539" max="1539" width="18.5" style="43" customWidth="1"/>
    <col min="1540" max="1540" width="16.375" style="43" customWidth="1"/>
    <col min="1541" max="1541" width="17.375" style="43" customWidth="1"/>
    <col min="1542" max="1542" width="16.75" style="43" customWidth="1"/>
    <col min="1543" max="1543" width="20.625" style="43" customWidth="1"/>
    <col min="1544" max="1792" width="9" style="43"/>
    <col min="1793" max="1793" width="14.75" style="43" customWidth="1"/>
    <col min="1794" max="1794" width="20.5" style="43" customWidth="1"/>
    <col min="1795" max="1795" width="18.5" style="43" customWidth="1"/>
    <col min="1796" max="1796" width="16.375" style="43" customWidth="1"/>
    <col min="1797" max="1797" width="17.375" style="43" customWidth="1"/>
    <col min="1798" max="1798" width="16.75" style="43" customWidth="1"/>
    <col min="1799" max="1799" width="20.625" style="43" customWidth="1"/>
    <col min="1800" max="2048" width="9" style="43"/>
    <col min="2049" max="2049" width="14.75" style="43" customWidth="1"/>
    <col min="2050" max="2050" width="20.5" style="43" customWidth="1"/>
    <col min="2051" max="2051" width="18.5" style="43" customWidth="1"/>
    <col min="2052" max="2052" width="16.375" style="43" customWidth="1"/>
    <col min="2053" max="2053" width="17.375" style="43" customWidth="1"/>
    <col min="2054" max="2054" width="16.75" style="43" customWidth="1"/>
    <col min="2055" max="2055" width="20.625" style="43" customWidth="1"/>
    <col min="2056" max="2304" width="9" style="43"/>
    <col min="2305" max="2305" width="14.75" style="43" customWidth="1"/>
    <col min="2306" max="2306" width="20.5" style="43" customWidth="1"/>
    <col min="2307" max="2307" width="18.5" style="43" customWidth="1"/>
    <col min="2308" max="2308" width="16.375" style="43" customWidth="1"/>
    <col min="2309" max="2309" width="17.375" style="43" customWidth="1"/>
    <col min="2310" max="2310" width="16.75" style="43" customWidth="1"/>
    <col min="2311" max="2311" width="20.625" style="43" customWidth="1"/>
    <col min="2312" max="2560" width="9" style="43"/>
    <col min="2561" max="2561" width="14.75" style="43" customWidth="1"/>
    <col min="2562" max="2562" width="20.5" style="43" customWidth="1"/>
    <col min="2563" max="2563" width="18.5" style="43" customWidth="1"/>
    <col min="2564" max="2564" width="16.375" style="43" customWidth="1"/>
    <col min="2565" max="2565" width="17.375" style="43" customWidth="1"/>
    <col min="2566" max="2566" width="16.75" style="43" customWidth="1"/>
    <col min="2567" max="2567" width="20.625" style="43" customWidth="1"/>
    <col min="2568" max="2816" width="9" style="43"/>
    <col min="2817" max="2817" width="14.75" style="43" customWidth="1"/>
    <col min="2818" max="2818" width="20.5" style="43" customWidth="1"/>
    <col min="2819" max="2819" width="18.5" style="43" customWidth="1"/>
    <col min="2820" max="2820" width="16.375" style="43" customWidth="1"/>
    <col min="2821" max="2821" width="17.375" style="43" customWidth="1"/>
    <col min="2822" max="2822" width="16.75" style="43" customWidth="1"/>
    <col min="2823" max="2823" width="20.625" style="43" customWidth="1"/>
    <col min="2824" max="3072" width="9" style="43"/>
    <col min="3073" max="3073" width="14.75" style="43" customWidth="1"/>
    <col min="3074" max="3074" width="20.5" style="43" customWidth="1"/>
    <col min="3075" max="3075" width="18.5" style="43" customWidth="1"/>
    <col min="3076" max="3076" width="16.375" style="43" customWidth="1"/>
    <col min="3077" max="3077" width="17.375" style="43" customWidth="1"/>
    <col min="3078" max="3078" width="16.75" style="43" customWidth="1"/>
    <col min="3079" max="3079" width="20.625" style="43" customWidth="1"/>
    <col min="3080" max="3328" width="9" style="43"/>
    <col min="3329" max="3329" width="14.75" style="43" customWidth="1"/>
    <col min="3330" max="3330" width="20.5" style="43" customWidth="1"/>
    <col min="3331" max="3331" width="18.5" style="43" customWidth="1"/>
    <col min="3332" max="3332" width="16.375" style="43" customWidth="1"/>
    <col min="3333" max="3333" width="17.375" style="43" customWidth="1"/>
    <col min="3334" max="3334" width="16.75" style="43" customWidth="1"/>
    <col min="3335" max="3335" width="20.625" style="43" customWidth="1"/>
    <col min="3336" max="3584" width="9" style="43"/>
    <col min="3585" max="3585" width="14.75" style="43" customWidth="1"/>
    <col min="3586" max="3586" width="20.5" style="43" customWidth="1"/>
    <col min="3587" max="3587" width="18.5" style="43" customWidth="1"/>
    <col min="3588" max="3588" width="16.375" style="43" customWidth="1"/>
    <col min="3589" max="3589" width="17.375" style="43" customWidth="1"/>
    <col min="3590" max="3590" width="16.75" style="43" customWidth="1"/>
    <col min="3591" max="3591" width="20.625" style="43" customWidth="1"/>
    <col min="3592" max="3840" width="9" style="43"/>
    <col min="3841" max="3841" width="14.75" style="43" customWidth="1"/>
    <col min="3842" max="3842" width="20.5" style="43" customWidth="1"/>
    <col min="3843" max="3843" width="18.5" style="43" customWidth="1"/>
    <col min="3844" max="3844" width="16.375" style="43" customWidth="1"/>
    <col min="3845" max="3845" width="17.375" style="43" customWidth="1"/>
    <col min="3846" max="3846" width="16.75" style="43" customWidth="1"/>
    <col min="3847" max="3847" width="20.625" style="43" customWidth="1"/>
    <col min="3848" max="4096" width="9" style="43"/>
    <col min="4097" max="4097" width="14.75" style="43" customWidth="1"/>
    <col min="4098" max="4098" width="20.5" style="43" customWidth="1"/>
    <col min="4099" max="4099" width="18.5" style="43" customWidth="1"/>
    <col min="4100" max="4100" width="16.375" style="43" customWidth="1"/>
    <col min="4101" max="4101" width="17.375" style="43" customWidth="1"/>
    <col min="4102" max="4102" width="16.75" style="43" customWidth="1"/>
    <col min="4103" max="4103" width="20.625" style="43" customWidth="1"/>
    <col min="4104" max="4352" width="9" style="43"/>
    <col min="4353" max="4353" width="14.75" style="43" customWidth="1"/>
    <col min="4354" max="4354" width="20.5" style="43" customWidth="1"/>
    <col min="4355" max="4355" width="18.5" style="43" customWidth="1"/>
    <col min="4356" max="4356" width="16.375" style="43" customWidth="1"/>
    <col min="4357" max="4357" width="17.375" style="43" customWidth="1"/>
    <col min="4358" max="4358" width="16.75" style="43" customWidth="1"/>
    <col min="4359" max="4359" width="20.625" style="43" customWidth="1"/>
    <col min="4360" max="4608" width="9" style="43"/>
    <col min="4609" max="4609" width="14.75" style="43" customWidth="1"/>
    <col min="4610" max="4610" width="20.5" style="43" customWidth="1"/>
    <col min="4611" max="4611" width="18.5" style="43" customWidth="1"/>
    <col min="4612" max="4612" width="16.375" style="43" customWidth="1"/>
    <col min="4613" max="4613" width="17.375" style="43" customWidth="1"/>
    <col min="4614" max="4614" width="16.75" style="43" customWidth="1"/>
    <col min="4615" max="4615" width="20.625" style="43" customWidth="1"/>
    <col min="4616" max="4864" width="9" style="43"/>
    <col min="4865" max="4865" width="14.75" style="43" customWidth="1"/>
    <col min="4866" max="4866" width="20.5" style="43" customWidth="1"/>
    <col min="4867" max="4867" width="18.5" style="43" customWidth="1"/>
    <col min="4868" max="4868" width="16.375" style="43" customWidth="1"/>
    <col min="4869" max="4869" width="17.375" style="43" customWidth="1"/>
    <col min="4870" max="4870" width="16.75" style="43" customWidth="1"/>
    <col min="4871" max="4871" width="20.625" style="43" customWidth="1"/>
    <col min="4872" max="5120" width="9" style="43"/>
    <col min="5121" max="5121" width="14.75" style="43" customWidth="1"/>
    <col min="5122" max="5122" width="20.5" style="43" customWidth="1"/>
    <col min="5123" max="5123" width="18.5" style="43" customWidth="1"/>
    <col min="5124" max="5124" width="16.375" style="43" customWidth="1"/>
    <col min="5125" max="5125" width="17.375" style="43" customWidth="1"/>
    <col min="5126" max="5126" width="16.75" style="43" customWidth="1"/>
    <col min="5127" max="5127" width="20.625" style="43" customWidth="1"/>
    <col min="5128" max="5376" width="9" style="43"/>
    <col min="5377" max="5377" width="14.75" style="43" customWidth="1"/>
    <col min="5378" max="5378" width="20.5" style="43" customWidth="1"/>
    <col min="5379" max="5379" width="18.5" style="43" customWidth="1"/>
    <col min="5380" max="5380" width="16.375" style="43" customWidth="1"/>
    <col min="5381" max="5381" width="17.375" style="43" customWidth="1"/>
    <col min="5382" max="5382" width="16.75" style="43" customWidth="1"/>
    <col min="5383" max="5383" width="20.625" style="43" customWidth="1"/>
    <col min="5384" max="5632" width="9" style="43"/>
    <col min="5633" max="5633" width="14.75" style="43" customWidth="1"/>
    <col min="5634" max="5634" width="20.5" style="43" customWidth="1"/>
    <col min="5635" max="5635" width="18.5" style="43" customWidth="1"/>
    <col min="5636" max="5636" width="16.375" style="43" customWidth="1"/>
    <col min="5637" max="5637" width="17.375" style="43" customWidth="1"/>
    <col min="5638" max="5638" width="16.75" style="43" customWidth="1"/>
    <col min="5639" max="5639" width="20.625" style="43" customWidth="1"/>
    <col min="5640" max="5888" width="9" style="43"/>
    <col min="5889" max="5889" width="14.75" style="43" customWidth="1"/>
    <col min="5890" max="5890" width="20.5" style="43" customWidth="1"/>
    <col min="5891" max="5891" width="18.5" style="43" customWidth="1"/>
    <col min="5892" max="5892" width="16.375" style="43" customWidth="1"/>
    <col min="5893" max="5893" width="17.375" style="43" customWidth="1"/>
    <col min="5894" max="5894" width="16.75" style="43" customWidth="1"/>
    <col min="5895" max="5895" width="20.625" style="43" customWidth="1"/>
    <col min="5896" max="6144" width="9" style="43"/>
    <col min="6145" max="6145" width="14.75" style="43" customWidth="1"/>
    <col min="6146" max="6146" width="20.5" style="43" customWidth="1"/>
    <col min="6147" max="6147" width="18.5" style="43" customWidth="1"/>
    <col min="6148" max="6148" width="16.375" style="43" customWidth="1"/>
    <col min="6149" max="6149" width="17.375" style="43" customWidth="1"/>
    <col min="6150" max="6150" width="16.75" style="43" customWidth="1"/>
    <col min="6151" max="6151" width="20.625" style="43" customWidth="1"/>
    <col min="6152" max="6400" width="9" style="43"/>
    <col min="6401" max="6401" width="14.75" style="43" customWidth="1"/>
    <col min="6402" max="6402" width="20.5" style="43" customWidth="1"/>
    <col min="6403" max="6403" width="18.5" style="43" customWidth="1"/>
    <col min="6404" max="6404" width="16.375" style="43" customWidth="1"/>
    <col min="6405" max="6405" width="17.375" style="43" customWidth="1"/>
    <col min="6406" max="6406" width="16.75" style="43" customWidth="1"/>
    <col min="6407" max="6407" width="20.625" style="43" customWidth="1"/>
    <col min="6408" max="6656" width="9" style="43"/>
    <col min="6657" max="6657" width="14.75" style="43" customWidth="1"/>
    <col min="6658" max="6658" width="20.5" style="43" customWidth="1"/>
    <col min="6659" max="6659" width="18.5" style="43" customWidth="1"/>
    <col min="6660" max="6660" width="16.375" style="43" customWidth="1"/>
    <col min="6661" max="6661" width="17.375" style="43" customWidth="1"/>
    <col min="6662" max="6662" width="16.75" style="43" customWidth="1"/>
    <col min="6663" max="6663" width="20.625" style="43" customWidth="1"/>
    <col min="6664" max="6912" width="9" style="43"/>
    <col min="6913" max="6913" width="14.75" style="43" customWidth="1"/>
    <col min="6914" max="6914" width="20.5" style="43" customWidth="1"/>
    <col min="6915" max="6915" width="18.5" style="43" customWidth="1"/>
    <col min="6916" max="6916" width="16.375" style="43" customWidth="1"/>
    <col min="6917" max="6917" width="17.375" style="43" customWidth="1"/>
    <col min="6918" max="6918" width="16.75" style="43" customWidth="1"/>
    <col min="6919" max="6919" width="20.625" style="43" customWidth="1"/>
    <col min="6920" max="7168" width="9" style="43"/>
    <col min="7169" max="7169" width="14.75" style="43" customWidth="1"/>
    <col min="7170" max="7170" width="20.5" style="43" customWidth="1"/>
    <col min="7171" max="7171" width="18.5" style="43" customWidth="1"/>
    <col min="7172" max="7172" width="16.375" style="43" customWidth="1"/>
    <col min="7173" max="7173" width="17.375" style="43" customWidth="1"/>
    <col min="7174" max="7174" width="16.75" style="43" customWidth="1"/>
    <col min="7175" max="7175" width="20.625" style="43" customWidth="1"/>
    <col min="7176" max="7424" width="9" style="43"/>
    <col min="7425" max="7425" width="14.75" style="43" customWidth="1"/>
    <col min="7426" max="7426" width="20.5" style="43" customWidth="1"/>
    <col min="7427" max="7427" width="18.5" style="43" customWidth="1"/>
    <col min="7428" max="7428" width="16.375" style="43" customWidth="1"/>
    <col min="7429" max="7429" width="17.375" style="43" customWidth="1"/>
    <col min="7430" max="7430" width="16.75" style="43" customWidth="1"/>
    <col min="7431" max="7431" width="20.625" style="43" customWidth="1"/>
    <col min="7432" max="7680" width="9" style="43"/>
    <col min="7681" max="7681" width="14.75" style="43" customWidth="1"/>
    <col min="7682" max="7682" width="20.5" style="43" customWidth="1"/>
    <col min="7683" max="7683" width="18.5" style="43" customWidth="1"/>
    <col min="7684" max="7684" width="16.375" style="43" customWidth="1"/>
    <col min="7685" max="7685" width="17.375" style="43" customWidth="1"/>
    <col min="7686" max="7686" width="16.75" style="43" customWidth="1"/>
    <col min="7687" max="7687" width="20.625" style="43" customWidth="1"/>
    <col min="7688" max="7936" width="9" style="43"/>
    <col min="7937" max="7937" width="14.75" style="43" customWidth="1"/>
    <col min="7938" max="7938" width="20.5" style="43" customWidth="1"/>
    <col min="7939" max="7939" width="18.5" style="43" customWidth="1"/>
    <col min="7940" max="7940" width="16.375" style="43" customWidth="1"/>
    <col min="7941" max="7941" width="17.375" style="43" customWidth="1"/>
    <col min="7942" max="7942" width="16.75" style="43" customWidth="1"/>
    <col min="7943" max="7943" width="20.625" style="43" customWidth="1"/>
    <col min="7944" max="8192" width="9" style="43"/>
    <col min="8193" max="8193" width="14.75" style="43" customWidth="1"/>
    <col min="8194" max="8194" width="20.5" style="43" customWidth="1"/>
    <col min="8195" max="8195" width="18.5" style="43" customWidth="1"/>
    <col min="8196" max="8196" width="16.375" style="43" customWidth="1"/>
    <col min="8197" max="8197" width="17.375" style="43" customWidth="1"/>
    <col min="8198" max="8198" width="16.75" style="43" customWidth="1"/>
    <col min="8199" max="8199" width="20.625" style="43" customWidth="1"/>
    <col min="8200" max="8448" width="9" style="43"/>
    <col min="8449" max="8449" width="14.75" style="43" customWidth="1"/>
    <col min="8450" max="8450" width="20.5" style="43" customWidth="1"/>
    <col min="8451" max="8451" width="18.5" style="43" customWidth="1"/>
    <col min="8452" max="8452" width="16.375" style="43" customWidth="1"/>
    <col min="8453" max="8453" width="17.375" style="43" customWidth="1"/>
    <col min="8454" max="8454" width="16.75" style="43" customWidth="1"/>
    <col min="8455" max="8455" width="20.625" style="43" customWidth="1"/>
    <col min="8456" max="8704" width="9" style="43"/>
    <col min="8705" max="8705" width="14.75" style="43" customWidth="1"/>
    <col min="8706" max="8706" width="20.5" style="43" customWidth="1"/>
    <col min="8707" max="8707" width="18.5" style="43" customWidth="1"/>
    <col min="8708" max="8708" width="16.375" style="43" customWidth="1"/>
    <col min="8709" max="8709" width="17.375" style="43" customWidth="1"/>
    <col min="8710" max="8710" width="16.75" style="43" customWidth="1"/>
    <col min="8711" max="8711" width="20.625" style="43" customWidth="1"/>
    <col min="8712" max="8960" width="9" style="43"/>
    <col min="8961" max="8961" width="14.75" style="43" customWidth="1"/>
    <col min="8962" max="8962" width="20.5" style="43" customWidth="1"/>
    <col min="8963" max="8963" width="18.5" style="43" customWidth="1"/>
    <col min="8964" max="8964" width="16.375" style="43" customWidth="1"/>
    <col min="8965" max="8965" width="17.375" style="43" customWidth="1"/>
    <col min="8966" max="8966" width="16.75" style="43" customWidth="1"/>
    <col min="8967" max="8967" width="20.625" style="43" customWidth="1"/>
    <col min="8968" max="9216" width="9" style="43"/>
    <col min="9217" max="9217" width="14.75" style="43" customWidth="1"/>
    <col min="9218" max="9218" width="20.5" style="43" customWidth="1"/>
    <col min="9219" max="9219" width="18.5" style="43" customWidth="1"/>
    <col min="9220" max="9220" width="16.375" style="43" customWidth="1"/>
    <col min="9221" max="9221" width="17.375" style="43" customWidth="1"/>
    <col min="9222" max="9222" width="16.75" style="43" customWidth="1"/>
    <col min="9223" max="9223" width="20.625" style="43" customWidth="1"/>
    <col min="9224" max="9472" width="9" style="43"/>
    <col min="9473" max="9473" width="14.75" style="43" customWidth="1"/>
    <col min="9474" max="9474" width="20.5" style="43" customWidth="1"/>
    <col min="9475" max="9475" width="18.5" style="43" customWidth="1"/>
    <col min="9476" max="9476" width="16.375" style="43" customWidth="1"/>
    <col min="9477" max="9477" width="17.375" style="43" customWidth="1"/>
    <col min="9478" max="9478" width="16.75" style="43" customWidth="1"/>
    <col min="9479" max="9479" width="20.625" style="43" customWidth="1"/>
    <col min="9480" max="9728" width="9" style="43"/>
    <col min="9729" max="9729" width="14.75" style="43" customWidth="1"/>
    <col min="9730" max="9730" width="20.5" style="43" customWidth="1"/>
    <col min="9731" max="9731" width="18.5" style="43" customWidth="1"/>
    <col min="9732" max="9732" width="16.375" style="43" customWidth="1"/>
    <col min="9733" max="9733" width="17.375" style="43" customWidth="1"/>
    <col min="9734" max="9734" width="16.75" style="43" customWidth="1"/>
    <col min="9735" max="9735" width="20.625" style="43" customWidth="1"/>
    <col min="9736" max="9984" width="9" style="43"/>
    <col min="9985" max="9985" width="14.75" style="43" customWidth="1"/>
    <col min="9986" max="9986" width="20.5" style="43" customWidth="1"/>
    <col min="9987" max="9987" width="18.5" style="43" customWidth="1"/>
    <col min="9988" max="9988" width="16.375" style="43" customWidth="1"/>
    <col min="9989" max="9989" width="17.375" style="43" customWidth="1"/>
    <col min="9990" max="9990" width="16.75" style="43" customWidth="1"/>
    <col min="9991" max="9991" width="20.625" style="43" customWidth="1"/>
    <col min="9992" max="10240" width="9" style="43"/>
    <col min="10241" max="10241" width="14.75" style="43" customWidth="1"/>
    <col min="10242" max="10242" width="20.5" style="43" customWidth="1"/>
    <col min="10243" max="10243" width="18.5" style="43" customWidth="1"/>
    <col min="10244" max="10244" width="16.375" style="43" customWidth="1"/>
    <col min="10245" max="10245" width="17.375" style="43" customWidth="1"/>
    <col min="10246" max="10246" width="16.75" style="43" customWidth="1"/>
    <col min="10247" max="10247" width="20.625" style="43" customWidth="1"/>
    <col min="10248" max="10496" width="9" style="43"/>
    <col min="10497" max="10497" width="14.75" style="43" customWidth="1"/>
    <col min="10498" max="10498" width="20.5" style="43" customWidth="1"/>
    <col min="10499" max="10499" width="18.5" style="43" customWidth="1"/>
    <col min="10500" max="10500" width="16.375" style="43" customWidth="1"/>
    <col min="10501" max="10501" width="17.375" style="43" customWidth="1"/>
    <col min="10502" max="10502" width="16.75" style="43" customWidth="1"/>
    <col min="10503" max="10503" width="20.625" style="43" customWidth="1"/>
    <col min="10504" max="10752" width="9" style="43"/>
    <col min="10753" max="10753" width="14.75" style="43" customWidth="1"/>
    <col min="10754" max="10754" width="20.5" style="43" customWidth="1"/>
    <col min="10755" max="10755" width="18.5" style="43" customWidth="1"/>
    <col min="10756" max="10756" width="16.375" style="43" customWidth="1"/>
    <col min="10757" max="10757" width="17.375" style="43" customWidth="1"/>
    <col min="10758" max="10758" width="16.75" style="43" customWidth="1"/>
    <col min="10759" max="10759" width="20.625" style="43" customWidth="1"/>
    <col min="10760" max="11008" width="9" style="43"/>
    <col min="11009" max="11009" width="14.75" style="43" customWidth="1"/>
    <col min="11010" max="11010" width="20.5" style="43" customWidth="1"/>
    <col min="11011" max="11011" width="18.5" style="43" customWidth="1"/>
    <col min="11012" max="11012" width="16.375" style="43" customWidth="1"/>
    <col min="11013" max="11013" width="17.375" style="43" customWidth="1"/>
    <col min="11014" max="11014" width="16.75" style="43" customWidth="1"/>
    <col min="11015" max="11015" width="20.625" style="43" customWidth="1"/>
    <col min="11016" max="11264" width="9" style="43"/>
    <col min="11265" max="11265" width="14.75" style="43" customWidth="1"/>
    <col min="11266" max="11266" width="20.5" style="43" customWidth="1"/>
    <col min="11267" max="11267" width="18.5" style="43" customWidth="1"/>
    <col min="11268" max="11268" width="16.375" style="43" customWidth="1"/>
    <col min="11269" max="11269" width="17.375" style="43" customWidth="1"/>
    <col min="11270" max="11270" width="16.75" style="43" customWidth="1"/>
    <col min="11271" max="11271" width="20.625" style="43" customWidth="1"/>
    <col min="11272" max="11520" width="9" style="43"/>
    <col min="11521" max="11521" width="14.75" style="43" customWidth="1"/>
    <col min="11522" max="11522" width="20.5" style="43" customWidth="1"/>
    <col min="11523" max="11523" width="18.5" style="43" customWidth="1"/>
    <col min="11524" max="11524" width="16.375" style="43" customWidth="1"/>
    <col min="11525" max="11525" width="17.375" style="43" customWidth="1"/>
    <col min="11526" max="11526" width="16.75" style="43" customWidth="1"/>
    <col min="11527" max="11527" width="20.625" style="43" customWidth="1"/>
    <col min="11528" max="11776" width="9" style="43"/>
    <col min="11777" max="11777" width="14.75" style="43" customWidth="1"/>
    <col min="11778" max="11778" width="20.5" style="43" customWidth="1"/>
    <col min="11779" max="11779" width="18.5" style="43" customWidth="1"/>
    <col min="11780" max="11780" width="16.375" style="43" customWidth="1"/>
    <col min="11781" max="11781" width="17.375" style="43" customWidth="1"/>
    <col min="11782" max="11782" width="16.75" style="43" customWidth="1"/>
    <col min="11783" max="11783" width="20.625" style="43" customWidth="1"/>
    <col min="11784" max="12032" width="9" style="43"/>
    <col min="12033" max="12033" width="14.75" style="43" customWidth="1"/>
    <col min="12034" max="12034" width="20.5" style="43" customWidth="1"/>
    <col min="12035" max="12035" width="18.5" style="43" customWidth="1"/>
    <col min="12036" max="12036" width="16.375" style="43" customWidth="1"/>
    <col min="12037" max="12037" width="17.375" style="43" customWidth="1"/>
    <col min="12038" max="12038" width="16.75" style="43" customWidth="1"/>
    <col min="12039" max="12039" width="20.625" style="43" customWidth="1"/>
    <col min="12040" max="12288" width="9" style="43"/>
    <col min="12289" max="12289" width="14.75" style="43" customWidth="1"/>
    <col min="12290" max="12290" width="20.5" style="43" customWidth="1"/>
    <col min="12291" max="12291" width="18.5" style="43" customWidth="1"/>
    <col min="12292" max="12292" width="16.375" style="43" customWidth="1"/>
    <col min="12293" max="12293" width="17.375" style="43" customWidth="1"/>
    <col min="12294" max="12294" width="16.75" style="43" customWidth="1"/>
    <col min="12295" max="12295" width="20.625" style="43" customWidth="1"/>
    <col min="12296" max="12544" width="9" style="43"/>
    <col min="12545" max="12545" width="14.75" style="43" customWidth="1"/>
    <col min="12546" max="12546" width="20.5" style="43" customWidth="1"/>
    <col min="12547" max="12547" width="18.5" style="43" customWidth="1"/>
    <col min="12548" max="12548" width="16.375" style="43" customWidth="1"/>
    <col min="12549" max="12549" width="17.375" style="43" customWidth="1"/>
    <col min="12550" max="12550" width="16.75" style="43" customWidth="1"/>
    <col min="12551" max="12551" width="20.625" style="43" customWidth="1"/>
    <col min="12552" max="12800" width="9" style="43"/>
    <col min="12801" max="12801" width="14.75" style="43" customWidth="1"/>
    <col min="12802" max="12802" width="20.5" style="43" customWidth="1"/>
    <col min="12803" max="12803" width="18.5" style="43" customWidth="1"/>
    <col min="12804" max="12804" width="16.375" style="43" customWidth="1"/>
    <col min="12805" max="12805" width="17.375" style="43" customWidth="1"/>
    <col min="12806" max="12806" width="16.75" style="43" customWidth="1"/>
    <col min="12807" max="12807" width="20.625" style="43" customWidth="1"/>
    <col min="12808" max="13056" width="9" style="43"/>
    <col min="13057" max="13057" width="14.75" style="43" customWidth="1"/>
    <col min="13058" max="13058" width="20.5" style="43" customWidth="1"/>
    <col min="13059" max="13059" width="18.5" style="43" customWidth="1"/>
    <col min="13060" max="13060" width="16.375" style="43" customWidth="1"/>
    <col min="13061" max="13061" width="17.375" style="43" customWidth="1"/>
    <col min="13062" max="13062" width="16.75" style="43" customWidth="1"/>
    <col min="13063" max="13063" width="20.625" style="43" customWidth="1"/>
    <col min="13064" max="13312" width="9" style="43"/>
    <col min="13313" max="13313" width="14.75" style="43" customWidth="1"/>
    <col min="13314" max="13314" width="20.5" style="43" customWidth="1"/>
    <col min="13315" max="13315" width="18.5" style="43" customWidth="1"/>
    <col min="13316" max="13316" width="16.375" style="43" customWidth="1"/>
    <col min="13317" max="13317" width="17.375" style="43" customWidth="1"/>
    <col min="13318" max="13318" width="16.75" style="43" customWidth="1"/>
    <col min="13319" max="13319" width="20.625" style="43" customWidth="1"/>
    <col min="13320" max="13568" width="9" style="43"/>
    <col min="13569" max="13569" width="14.75" style="43" customWidth="1"/>
    <col min="13570" max="13570" width="20.5" style="43" customWidth="1"/>
    <col min="13571" max="13571" width="18.5" style="43" customWidth="1"/>
    <col min="13572" max="13572" width="16.375" style="43" customWidth="1"/>
    <col min="13573" max="13573" width="17.375" style="43" customWidth="1"/>
    <col min="13574" max="13574" width="16.75" style="43" customWidth="1"/>
    <col min="13575" max="13575" width="20.625" style="43" customWidth="1"/>
    <col min="13576" max="13824" width="9" style="43"/>
    <col min="13825" max="13825" width="14.75" style="43" customWidth="1"/>
    <col min="13826" max="13826" width="20.5" style="43" customWidth="1"/>
    <col min="13827" max="13827" width="18.5" style="43" customWidth="1"/>
    <col min="13828" max="13828" width="16.375" style="43" customWidth="1"/>
    <col min="13829" max="13829" width="17.375" style="43" customWidth="1"/>
    <col min="13830" max="13830" width="16.75" style="43" customWidth="1"/>
    <col min="13831" max="13831" width="20.625" style="43" customWidth="1"/>
    <col min="13832" max="14080" width="9" style="43"/>
    <col min="14081" max="14081" width="14.75" style="43" customWidth="1"/>
    <col min="14082" max="14082" width="20.5" style="43" customWidth="1"/>
    <col min="14083" max="14083" width="18.5" style="43" customWidth="1"/>
    <col min="14084" max="14084" width="16.375" style="43" customWidth="1"/>
    <col min="14085" max="14085" width="17.375" style="43" customWidth="1"/>
    <col min="14086" max="14086" width="16.75" style="43" customWidth="1"/>
    <col min="14087" max="14087" width="20.625" style="43" customWidth="1"/>
    <col min="14088" max="14336" width="9" style="43"/>
    <col min="14337" max="14337" width="14.75" style="43" customWidth="1"/>
    <col min="14338" max="14338" width="20.5" style="43" customWidth="1"/>
    <col min="14339" max="14339" width="18.5" style="43" customWidth="1"/>
    <col min="14340" max="14340" width="16.375" style="43" customWidth="1"/>
    <col min="14341" max="14341" width="17.375" style="43" customWidth="1"/>
    <col min="14342" max="14342" width="16.75" style="43" customWidth="1"/>
    <col min="14343" max="14343" width="20.625" style="43" customWidth="1"/>
    <col min="14344" max="14592" width="9" style="43"/>
    <col min="14593" max="14593" width="14.75" style="43" customWidth="1"/>
    <col min="14594" max="14594" width="20.5" style="43" customWidth="1"/>
    <col min="14595" max="14595" width="18.5" style="43" customWidth="1"/>
    <col min="14596" max="14596" width="16.375" style="43" customWidth="1"/>
    <col min="14597" max="14597" width="17.375" style="43" customWidth="1"/>
    <col min="14598" max="14598" width="16.75" style="43" customWidth="1"/>
    <col min="14599" max="14599" width="20.625" style="43" customWidth="1"/>
    <col min="14600" max="14848" width="9" style="43"/>
    <col min="14849" max="14849" width="14.75" style="43" customWidth="1"/>
    <col min="14850" max="14850" width="20.5" style="43" customWidth="1"/>
    <col min="14851" max="14851" width="18.5" style="43" customWidth="1"/>
    <col min="14852" max="14852" width="16.375" style="43" customWidth="1"/>
    <col min="14853" max="14853" width="17.375" style="43" customWidth="1"/>
    <col min="14854" max="14854" width="16.75" style="43" customWidth="1"/>
    <col min="14855" max="14855" width="20.625" style="43" customWidth="1"/>
    <col min="14856" max="15104" width="9" style="43"/>
    <col min="15105" max="15105" width="14.75" style="43" customWidth="1"/>
    <col min="15106" max="15106" width="20.5" style="43" customWidth="1"/>
    <col min="15107" max="15107" width="18.5" style="43" customWidth="1"/>
    <col min="15108" max="15108" width="16.375" style="43" customWidth="1"/>
    <col min="15109" max="15109" width="17.375" style="43" customWidth="1"/>
    <col min="15110" max="15110" width="16.75" style="43" customWidth="1"/>
    <col min="15111" max="15111" width="20.625" style="43" customWidth="1"/>
    <col min="15112" max="15360" width="9" style="43"/>
    <col min="15361" max="15361" width="14.75" style="43" customWidth="1"/>
    <col min="15362" max="15362" width="20.5" style="43" customWidth="1"/>
    <col min="15363" max="15363" width="18.5" style="43" customWidth="1"/>
    <col min="15364" max="15364" width="16.375" style="43" customWidth="1"/>
    <col min="15365" max="15365" width="17.375" style="43" customWidth="1"/>
    <col min="15366" max="15366" width="16.75" style="43" customWidth="1"/>
    <col min="15367" max="15367" width="20.625" style="43" customWidth="1"/>
    <col min="15368" max="15616" width="9" style="43"/>
    <col min="15617" max="15617" width="14.75" style="43" customWidth="1"/>
    <col min="15618" max="15618" width="20.5" style="43" customWidth="1"/>
    <col min="15619" max="15619" width="18.5" style="43" customWidth="1"/>
    <col min="15620" max="15620" width="16.375" style="43" customWidth="1"/>
    <col min="15621" max="15621" width="17.375" style="43" customWidth="1"/>
    <col min="15622" max="15622" width="16.75" style="43" customWidth="1"/>
    <col min="15623" max="15623" width="20.625" style="43" customWidth="1"/>
    <col min="15624" max="15872" width="9" style="43"/>
    <col min="15873" max="15873" width="14.75" style="43" customWidth="1"/>
    <col min="15874" max="15874" width="20.5" style="43" customWidth="1"/>
    <col min="15875" max="15875" width="18.5" style="43" customWidth="1"/>
    <col min="15876" max="15876" width="16.375" style="43" customWidth="1"/>
    <col min="15877" max="15877" width="17.375" style="43" customWidth="1"/>
    <col min="15878" max="15878" width="16.75" style="43" customWidth="1"/>
    <col min="15879" max="15879" width="20.625" style="43" customWidth="1"/>
    <col min="15880" max="16128" width="9" style="43"/>
    <col min="16129" max="16129" width="14.75" style="43" customWidth="1"/>
    <col min="16130" max="16130" width="20.5" style="43" customWidth="1"/>
    <col min="16131" max="16131" width="18.5" style="43" customWidth="1"/>
    <col min="16132" max="16132" width="16.375" style="43" customWidth="1"/>
    <col min="16133" max="16133" width="17.375" style="43" customWidth="1"/>
    <col min="16134" max="16134" width="16.75" style="43" customWidth="1"/>
    <col min="16135" max="16135" width="20.625" style="43" customWidth="1"/>
    <col min="16136" max="16384" width="9" style="43"/>
  </cols>
  <sheetData>
    <row r="1" spans="1:7">
      <c r="A1" s="771" t="s">
        <v>264</v>
      </c>
      <c r="B1" s="772"/>
      <c r="C1" s="772"/>
      <c r="D1" s="772"/>
      <c r="E1" s="772"/>
      <c r="F1" s="772"/>
      <c r="G1" s="772"/>
    </row>
    <row r="2" spans="1:7">
      <c r="A2" s="771" t="s">
        <v>286</v>
      </c>
      <c r="B2" s="772"/>
      <c r="C2" s="772"/>
      <c r="D2" s="772"/>
      <c r="E2" s="772"/>
      <c r="F2" s="772"/>
      <c r="G2" s="772"/>
    </row>
    <row r="3" spans="1:7">
      <c r="A3" s="771" t="s">
        <v>1011</v>
      </c>
      <c r="B3" s="772"/>
      <c r="C3" s="772"/>
      <c r="D3" s="772"/>
      <c r="E3" s="772"/>
      <c r="F3" s="772"/>
      <c r="G3" s="772"/>
    </row>
    <row r="5" spans="1:7">
      <c r="A5" s="773" t="s">
        <v>65</v>
      </c>
      <c r="B5" s="775" t="s">
        <v>50</v>
      </c>
      <c r="C5" s="775" t="s">
        <v>39</v>
      </c>
      <c r="D5" s="777" t="s">
        <v>66</v>
      </c>
      <c r="E5" s="777" t="s">
        <v>91</v>
      </c>
      <c r="F5" s="777" t="s">
        <v>92</v>
      </c>
      <c r="G5" s="777" t="s">
        <v>35</v>
      </c>
    </row>
    <row r="6" spans="1:7" ht="40.5" customHeight="1">
      <c r="A6" s="774"/>
      <c r="B6" s="776"/>
      <c r="C6" s="776"/>
      <c r="D6" s="778"/>
      <c r="E6" s="778"/>
      <c r="F6" s="778"/>
      <c r="G6" s="778"/>
    </row>
    <row r="7" spans="1:7">
      <c r="A7" s="50" t="s">
        <v>96</v>
      </c>
      <c r="B7" s="50"/>
      <c r="C7" s="50"/>
      <c r="D7" s="54"/>
      <c r="E7" s="54"/>
      <c r="F7" s="54"/>
      <c r="G7" s="54"/>
    </row>
    <row r="8" spans="1:7">
      <c r="A8" s="52" t="s">
        <v>69</v>
      </c>
      <c r="B8" s="53" t="s">
        <v>268</v>
      </c>
      <c r="C8" s="53" t="s">
        <v>197</v>
      </c>
      <c r="D8" s="54"/>
      <c r="E8" s="54"/>
      <c r="F8" s="54"/>
      <c r="G8" s="54">
        <f t="shared" ref="G8:G17" si="0">SUM(E8:F8)</f>
        <v>0</v>
      </c>
    </row>
    <row r="9" spans="1:7">
      <c r="A9" s="52"/>
      <c r="B9" s="53" t="s">
        <v>269</v>
      </c>
      <c r="C9" s="53" t="s">
        <v>197</v>
      </c>
      <c r="D9" s="54"/>
      <c r="E9" s="54"/>
      <c r="F9" s="54"/>
      <c r="G9" s="54">
        <f t="shared" si="0"/>
        <v>0</v>
      </c>
    </row>
    <row r="10" spans="1:7">
      <c r="A10" s="52" t="s">
        <v>70</v>
      </c>
      <c r="B10" s="53" t="s">
        <v>270</v>
      </c>
      <c r="C10" s="53" t="s">
        <v>197</v>
      </c>
      <c r="D10" s="54"/>
      <c r="E10" s="54"/>
      <c r="F10" s="54"/>
      <c r="G10" s="54">
        <f t="shared" si="0"/>
        <v>0</v>
      </c>
    </row>
    <row r="11" spans="1:7">
      <c r="A11" s="52"/>
      <c r="B11" s="53" t="s">
        <v>271</v>
      </c>
      <c r="C11" s="53" t="s">
        <v>197</v>
      </c>
      <c r="D11" s="54">
        <f>'Sheet3 (โอน)'!D189</f>
        <v>84055</v>
      </c>
      <c r="E11" s="54">
        <f>'[2]สรุปรายจ่ายตามงบประมาณ '!E185</f>
        <v>0</v>
      </c>
      <c r="F11" s="54">
        <f>'Sheet3 (โอน)'!E189</f>
        <v>42310</v>
      </c>
      <c r="G11" s="54">
        <f t="shared" si="0"/>
        <v>42310</v>
      </c>
    </row>
    <row r="12" spans="1:7">
      <c r="A12" s="52"/>
      <c r="B12" s="53" t="s">
        <v>272</v>
      </c>
      <c r="C12" s="53" t="s">
        <v>197</v>
      </c>
      <c r="D12" s="54"/>
      <c r="E12" s="54"/>
      <c r="F12" s="54">
        <v>0</v>
      </c>
      <c r="G12" s="54">
        <f t="shared" si="0"/>
        <v>0</v>
      </c>
    </row>
    <row r="13" spans="1:7">
      <c r="A13" s="52"/>
      <c r="B13" s="53" t="s">
        <v>74</v>
      </c>
      <c r="C13" s="53" t="s">
        <v>197</v>
      </c>
      <c r="D13" s="54"/>
      <c r="E13" s="54"/>
      <c r="F13" s="54"/>
      <c r="G13" s="54">
        <f t="shared" si="0"/>
        <v>0</v>
      </c>
    </row>
    <row r="14" spans="1:7">
      <c r="A14" s="52" t="s">
        <v>75</v>
      </c>
      <c r="B14" s="53" t="s">
        <v>273</v>
      </c>
      <c r="C14" s="53" t="s">
        <v>197</v>
      </c>
      <c r="D14" s="54"/>
      <c r="E14" s="54"/>
      <c r="F14" s="54"/>
      <c r="G14" s="54">
        <f t="shared" si="0"/>
        <v>0</v>
      </c>
    </row>
    <row r="15" spans="1:7">
      <c r="A15" s="52"/>
      <c r="B15" s="53" t="s">
        <v>274</v>
      </c>
      <c r="C15" s="53" t="s">
        <v>197</v>
      </c>
      <c r="D15" s="54"/>
      <c r="E15" s="54"/>
      <c r="F15" s="54"/>
      <c r="G15" s="54">
        <f t="shared" si="0"/>
        <v>0</v>
      </c>
    </row>
    <row r="16" spans="1:7">
      <c r="A16" s="52" t="s">
        <v>78</v>
      </c>
      <c r="B16" s="53" t="s">
        <v>79</v>
      </c>
      <c r="C16" s="53" t="s">
        <v>197</v>
      </c>
      <c r="D16" s="54"/>
      <c r="E16" s="54"/>
      <c r="F16" s="54"/>
      <c r="G16" s="54">
        <f t="shared" si="0"/>
        <v>0</v>
      </c>
    </row>
    <row r="17" spans="1:9">
      <c r="A17" s="52" t="s">
        <v>80</v>
      </c>
      <c r="B17" s="53" t="s">
        <v>275</v>
      </c>
      <c r="C17" s="53" t="s">
        <v>197</v>
      </c>
      <c r="D17" s="54"/>
      <c r="E17" s="54"/>
      <c r="F17" s="54">
        <v>0</v>
      </c>
      <c r="G17" s="54">
        <f t="shared" si="0"/>
        <v>0</v>
      </c>
    </row>
    <row r="18" spans="1:9">
      <c r="A18" s="768" t="s">
        <v>35</v>
      </c>
      <c r="B18" s="769"/>
      <c r="C18" s="770"/>
      <c r="D18" s="55">
        <f>SUM(D8:D17)</f>
        <v>84055</v>
      </c>
      <c r="E18" s="55">
        <f>SUM(E8:E17)</f>
        <v>0</v>
      </c>
      <c r="F18" s="55">
        <f>SUM(F8:F17)</f>
        <v>42310</v>
      </c>
      <c r="G18" s="55">
        <f>SUM(G8:G17)</f>
        <v>42310</v>
      </c>
    </row>
    <row r="20" spans="1:9" s="293" customFormat="1" ht="21">
      <c r="A20" s="293" t="s">
        <v>64</v>
      </c>
      <c r="D20" s="321"/>
      <c r="E20" s="321"/>
      <c r="F20" s="321"/>
      <c r="G20" s="321"/>
      <c r="H20" s="321"/>
      <c r="I20" s="321"/>
    </row>
  </sheetData>
  <mergeCells count="11">
    <mergeCell ref="A18:C18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0.39" right="0.2" top="0.48" bottom="0.42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F16" sqref="F16"/>
    </sheetView>
  </sheetViews>
  <sheetFormatPr defaultRowHeight="24.75"/>
  <cols>
    <col min="1" max="1" width="11.125" style="43" customWidth="1"/>
    <col min="2" max="2" width="20.5" style="43" customWidth="1"/>
    <col min="3" max="3" width="23.25" style="43" customWidth="1"/>
    <col min="4" max="4" width="16.375" style="56" customWidth="1"/>
    <col min="5" max="5" width="17.375" style="56" customWidth="1"/>
    <col min="6" max="6" width="21.125" style="56" customWidth="1"/>
    <col min="7" max="7" width="21.625" style="56" customWidth="1"/>
    <col min="8" max="8" width="16.875" style="43" customWidth="1"/>
    <col min="9" max="9" width="15.125" style="43" customWidth="1"/>
    <col min="10" max="256" width="9" style="43"/>
    <col min="257" max="257" width="11.125" style="43" customWidth="1"/>
    <col min="258" max="258" width="20.5" style="43" customWidth="1"/>
    <col min="259" max="259" width="23.25" style="43" customWidth="1"/>
    <col min="260" max="260" width="16.375" style="43" customWidth="1"/>
    <col min="261" max="261" width="17.375" style="43" customWidth="1"/>
    <col min="262" max="262" width="16.75" style="43" customWidth="1"/>
    <col min="263" max="263" width="25.75" style="43" customWidth="1"/>
    <col min="264" max="264" width="16.875" style="43" customWidth="1"/>
    <col min="265" max="265" width="15.125" style="43" customWidth="1"/>
    <col min="266" max="512" width="9" style="43"/>
    <col min="513" max="513" width="11.125" style="43" customWidth="1"/>
    <col min="514" max="514" width="20.5" style="43" customWidth="1"/>
    <col min="515" max="515" width="23.25" style="43" customWidth="1"/>
    <col min="516" max="516" width="16.375" style="43" customWidth="1"/>
    <col min="517" max="517" width="17.375" style="43" customWidth="1"/>
    <col min="518" max="518" width="16.75" style="43" customWidth="1"/>
    <col min="519" max="519" width="25.75" style="43" customWidth="1"/>
    <col min="520" max="520" width="16.875" style="43" customWidth="1"/>
    <col min="521" max="521" width="15.125" style="43" customWidth="1"/>
    <col min="522" max="768" width="9" style="43"/>
    <col min="769" max="769" width="11.125" style="43" customWidth="1"/>
    <col min="770" max="770" width="20.5" style="43" customWidth="1"/>
    <col min="771" max="771" width="23.25" style="43" customWidth="1"/>
    <col min="772" max="772" width="16.375" style="43" customWidth="1"/>
    <col min="773" max="773" width="17.375" style="43" customWidth="1"/>
    <col min="774" max="774" width="16.75" style="43" customWidth="1"/>
    <col min="775" max="775" width="25.75" style="43" customWidth="1"/>
    <col min="776" max="776" width="16.875" style="43" customWidth="1"/>
    <col min="777" max="777" width="15.125" style="43" customWidth="1"/>
    <col min="778" max="1024" width="9" style="43"/>
    <col min="1025" max="1025" width="11.125" style="43" customWidth="1"/>
    <col min="1026" max="1026" width="20.5" style="43" customWidth="1"/>
    <col min="1027" max="1027" width="23.25" style="43" customWidth="1"/>
    <col min="1028" max="1028" width="16.375" style="43" customWidth="1"/>
    <col min="1029" max="1029" width="17.375" style="43" customWidth="1"/>
    <col min="1030" max="1030" width="16.75" style="43" customWidth="1"/>
    <col min="1031" max="1031" width="25.75" style="43" customWidth="1"/>
    <col min="1032" max="1032" width="16.875" style="43" customWidth="1"/>
    <col min="1033" max="1033" width="15.125" style="43" customWidth="1"/>
    <col min="1034" max="1280" width="9" style="43"/>
    <col min="1281" max="1281" width="11.125" style="43" customWidth="1"/>
    <col min="1282" max="1282" width="20.5" style="43" customWidth="1"/>
    <col min="1283" max="1283" width="23.25" style="43" customWidth="1"/>
    <col min="1284" max="1284" width="16.375" style="43" customWidth="1"/>
    <col min="1285" max="1285" width="17.375" style="43" customWidth="1"/>
    <col min="1286" max="1286" width="16.75" style="43" customWidth="1"/>
    <col min="1287" max="1287" width="25.75" style="43" customWidth="1"/>
    <col min="1288" max="1288" width="16.875" style="43" customWidth="1"/>
    <col min="1289" max="1289" width="15.125" style="43" customWidth="1"/>
    <col min="1290" max="1536" width="9" style="43"/>
    <col min="1537" max="1537" width="11.125" style="43" customWidth="1"/>
    <col min="1538" max="1538" width="20.5" style="43" customWidth="1"/>
    <col min="1539" max="1539" width="23.25" style="43" customWidth="1"/>
    <col min="1540" max="1540" width="16.375" style="43" customWidth="1"/>
    <col min="1541" max="1541" width="17.375" style="43" customWidth="1"/>
    <col min="1542" max="1542" width="16.75" style="43" customWidth="1"/>
    <col min="1543" max="1543" width="25.75" style="43" customWidth="1"/>
    <col min="1544" max="1544" width="16.875" style="43" customWidth="1"/>
    <col min="1545" max="1545" width="15.125" style="43" customWidth="1"/>
    <col min="1546" max="1792" width="9" style="43"/>
    <col min="1793" max="1793" width="11.125" style="43" customWidth="1"/>
    <col min="1794" max="1794" width="20.5" style="43" customWidth="1"/>
    <col min="1795" max="1795" width="23.25" style="43" customWidth="1"/>
    <col min="1796" max="1796" width="16.375" style="43" customWidth="1"/>
    <col min="1797" max="1797" width="17.375" style="43" customWidth="1"/>
    <col min="1798" max="1798" width="16.75" style="43" customWidth="1"/>
    <col min="1799" max="1799" width="25.75" style="43" customWidth="1"/>
    <col min="1800" max="1800" width="16.875" style="43" customWidth="1"/>
    <col min="1801" max="1801" width="15.125" style="43" customWidth="1"/>
    <col min="1802" max="2048" width="9" style="43"/>
    <col min="2049" max="2049" width="11.125" style="43" customWidth="1"/>
    <col min="2050" max="2050" width="20.5" style="43" customWidth="1"/>
    <col min="2051" max="2051" width="23.25" style="43" customWidth="1"/>
    <col min="2052" max="2052" width="16.375" style="43" customWidth="1"/>
    <col min="2053" max="2053" width="17.375" style="43" customWidth="1"/>
    <col min="2054" max="2054" width="16.75" style="43" customWidth="1"/>
    <col min="2055" max="2055" width="25.75" style="43" customWidth="1"/>
    <col min="2056" max="2056" width="16.875" style="43" customWidth="1"/>
    <col min="2057" max="2057" width="15.125" style="43" customWidth="1"/>
    <col min="2058" max="2304" width="9" style="43"/>
    <col min="2305" max="2305" width="11.125" style="43" customWidth="1"/>
    <col min="2306" max="2306" width="20.5" style="43" customWidth="1"/>
    <col min="2307" max="2307" width="23.25" style="43" customWidth="1"/>
    <col min="2308" max="2308" width="16.375" style="43" customWidth="1"/>
    <col min="2309" max="2309" width="17.375" style="43" customWidth="1"/>
    <col min="2310" max="2310" width="16.75" style="43" customWidth="1"/>
    <col min="2311" max="2311" width="25.75" style="43" customWidth="1"/>
    <col min="2312" max="2312" width="16.875" style="43" customWidth="1"/>
    <col min="2313" max="2313" width="15.125" style="43" customWidth="1"/>
    <col min="2314" max="2560" width="9" style="43"/>
    <col min="2561" max="2561" width="11.125" style="43" customWidth="1"/>
    <col min="2562" max="2562" width="20.5" style="43" customWidth="1"/>
    <col min="2563" max="2563" width="23.25" style="43" customWidth="1"/>
    <col min="2564" max="2564" width="16.375" style="43" customWidth="1"/>
    <col min="2565" max="2565" width="17.375" style="43" customWidth="1"/>
    <col min="2566" max="2566" width="16.75" style="43" customWidth="1"/>
    <col min="2567" max="2567" width="25.75" style="43" customWidth="1"/>
    <col min="2568" max="2568" width="16.875" style="43" customWidth="1"/>
    <col min="2569" max="2569" width="15.125" style="43" customWidth="1"/>
    <col min="2570" max="2816" width="9" style="43"/>
    <col min="2817" max="2817" width="11.125" style="43" customWidth="1"/>
    <col min="2818" max="2818" width="20.5" style="43" customWidth="1"/>
    <col min="2819" max="2819" width="23.25" style="43" customWidth="1"/>
    <col min="2820" max="2820" width="16.375" style="43" customWidth="1"/>
    <col min="2821" max="2821" width="17.375" style="43" customWidth="1"/>
    <col min="2822" max="2822" width="16.75" style="43" customWidth="1"/>
    <col min="2823" max="2823" width="25.75" style="43" customWidth="1"/>
    <col min="2824" max="2824" width="16.875" style="43" customWidth="1"/>
    <col min="2825" max="2825" width="15.125" style="43" customWidth="1"/>
    <col min="2826" max="3072" width="9" style="43"/>
    <col min="3073" max="3073" width="11.125" style="43" customWidth="1"/>
    <col min="3074" max="3074" width="20.5" style="43" customWidth="1"/>
    <col min="3075" max="3075" width="23.25" style="43" customWidth="1"/>
    <col min="3076" max="3076" width="16.375" style="43" customWidth="1"/>
    <col min="3077" max="3077" width="17.375" style="43" customWidth="1"/>
    <col min="3078" max="3078" width="16.75" style="43" customWidth="1"/>
    <col min="3079" max="3079" width="25.75" style="43" customWidth="1"/>
    <col min="3080" max="3080" width="16.875" style="43" customWidth="1"/>
    <col min="3081" max="3081" width="15.125" style="43" customWidth="1"/>
    <col min="3082" max="3328" width="9" style="43"/>
    <col min="3329" max="3329" width="11.125" style="43" customWidth="1"/>
    <col min="3330" max="3330" width="20.5" style="43" customWidth="1"/>
    <col min="3331" max="3331" width="23.25" style="43" customWidth="1"/>
    <col min="3332" max="3332" width="16.375" style="43" customWidth="1"/>
    <col min="3333" max="3333" width="17.375" style="43" customWidth="1"/>
    <col min="3334" max="3334" width="16.75" style="43" customWidth="1"/>
    <col min="3335" max="3335" width="25.75" style="43" customWidth="1"/>
    <col min="3336" max="3336" width="16.875" style="43" customWidth="1"/>
    <col min="3337" max="3337" width="15.125" style="43" customWidth="1"/>
    <col min="3338" max="3584" width="9" style="43"/>
    <col min="3585" max="3585" width="11.125" style="43" customWidth="1"/>
    <col min="3586" max="3586" width="20.5" style="43" customWidth="1"/>
    <col min="3587" max="3587" width="23.25" style="43" customWidth="1"/>
    <col min="3588" max="3588" width="16.375" style="43" customWidth="1"/>
    <col min="3589" max="3589" width="17.375" style="43" customWidth="1"/>
    <col min="3590" max="3590" width="16.75" style="43" customWidth="1"/>
    <col min="3591" max="3591" width="25.75" style="43" customWidth="1"/>
    <col min="3592" max="3592" width="16.875" style="43" customWidth="1"/>
    <col min="3593" max="3593" width="15.125" style="43" customWidth="1"/>
    <col min="3594" max="3840" width="9" style="43"/>
    <col min="3841" max="3841" width="11.125" style="43" customWidth="1"/>
    <col min="3842" max="3842" width="20.5" style="43" customWidth="1"/>
    <col min="3843" max="3843" width="23.25" style="43" customWidth="1"/>
    <col min="3844" max="3844" width="16.375" style="43" customWidth="1"/>
    <col min="3845" max="3845" width="17.375" style="43" customWidth="1"/>
    <col min="3846" max="3846" width="16.75" style="43" customWidth="1"/>
    <col min="3847" max="3847" width="25.75" style="43" customWidth="1"/>
    <col min="3848" max="3848" width="16.875" style="43" customWidth="1"/>
    <col min="3849" max="3849" width="15.125" style="43" customWidth="1"/>
    <col min="3850" max="4096" width="9" style="43"/>
    <col min="4097" max="4097" width="11.125" style="43" customWidth="1"/>
    <col min="4098" max="4098" width="20.5" style="43" customWidth="1"/>
    <col min="4099" max="4099" width="23.25" style="43" customWidth="1"/>
    <col min="4100" max="4100" width="16.375" style="43" customWidth="1"/>
    <col min="4101" max="4101" width="17.375" style="43" customWidth="1"/>
    <col min="4102" max="4102" width="16.75" style="43" customWidth="1"/>
    <col min="4103" max="4103" width="25.75" style="43" customWidth="1"/>
    <col min="4104" max="4104" width="16.875" style="43" customWidth="1"/>
    <col min="4105" max="4105" width="15.125" style="43" customWidth="1"/>
    <col min="4106" max="4352" width="9" style="43"/>
    <col min="4353" max="4353" width="11.125" style="43" customWidth="1"/>
    <col min="4354" max="4354" width="20.5" style="43" customWidth="1"/>
    <col min="4355" max="4355" width="23.25" style="43" customWidth="1"/>
    <col min="4356" max="4356" width="16.375" style="43" customWidth="1"/>
    <col min="4357" max="4357" width="17.375" style="43" customWidth="1"/>
    <col min="4358" max="4358" width="16.75" style="43" customWidth="1"/>
    <col min="4359" max="4359" width="25.75" style="43" customWidth="1"/>
    <col min="4360" max="4360" width="16.875" style="43" customWidth="1"/>
    <col min="4361" max="4361" width="15.125" style="43" customWidth="1"/>
    <col min="4362" max="4608" width="9" style="43"/>
    <col min="4609" max="4609" width="11.125" style="43" customWidth="1"/>
    <col min="4610" max="4610" width="20.5" style="43" customWidth="1"/>
    <col min="4611" max="4611" width="23.25" style="43" customWidth="1"/>
    <col min="4612" max="4612" width="16.375" style="43" customWidth="1"/>
    <col min="4613" max="4613" width="17.375" style="43" customWidth="1"/>
    <col min="4614" max="4614" width="16.75" style="43" customWidth="1"/>
    <col min="4615" max="4615" width="25.75" style="43" customWidth="1"/>
    <col min="4616" max="4616" width="16.875" style="43" customWidth="1"/>
    <col min="4617" max="4617" width="15.125" style="43" customWidth="1"/>
    <col min="4618" max="4864" width="9" style="43"/>
    <col min="4865" max="4865" width="11.125" style="43" customWidth="1"/>
    <col min="4866" max="4866" width="20.5" style="43" customWidth="1"/>
    <col min="4867" max="4867" width="23.25" style="43" customWidth="1"/>
    <col min="4868" max="4868" width="16.375" style="43" customWidth="1"/>
    <col min="4869" max="4869" width="17.375" style="43" customWidth="1"/>
    <col min="4870" max="4870" width="16.75" style="43" customWidth="1"/>
    <col min="4871" max="4871" width="25.75" style="43" customWidth="1"/>
    <col min="4872" max="4872" width="16.875" style="43" customWidth="1"/>
    <col min="4873" max="4873" width="15.125" style="43" customWidth="1"/>
    <col min="4874" max="5120" width="9" style="43"/>
    <col min="5121" max="5121" width="11.125" style="43" customWidth="1"/>
    <col min="5122" max="5122" width="20.5" style="43" customWidth="1"/>
    <col min="5123" max="5123" width="23.25" style="43" customWidth="1"/>
    <col min="5124" max="5124" width="16.375" style="43" customWidth="1"/>
    <col min="5125" max="5125" width="17.375" style="43" customWidth="1"/>
    <col min="5126" max="5126" width="16.75" style="43" customWidth="1"/>
    <col min="5127" max="5127" width="25.75" style="43" customWidth="1"/>
    <col min="5128" max="5128" width="16.875" style="43" customWidth="1"/>
    <col min="5129" max="5129" width="15.125" style="43" customWidth="1"/>
    <col min="5130" max="5376" width="9" style="43"/>
    <col min="5377" max="5377" width="11.125" style="43" customWidth="1"/>
    <col min="5378" max="5378" width="20.5" style="43" customWidth="1"/>
    <col min="5379" max="5379" width="23.25" style="43" customWidth="1"/>
    <col min="5380" max="5380" width="16.375" style="43" customWidth="1"/>
    <col min="5381" max="5381" width="17.375" style="43" customWidth="1"/>
    <col min="5382" max="5382" width="16.75" style="43" customWidth="1"/>
    <col min="5383" max="5383" width="25.75" style="43" customWidth="1"/>
    <col min="5384" max="5384" width="16.875" style="43" customWidth="1"/>
    <col min="5385" max="5385" width="15.125" style="43" customWidth="1"/>
    <col min="5386" max="5632" width="9" style="43"/>
    <col min="5633" max="5633" width="11.125" style="43" customWidth="1"/>
    <col min="5634" max="5634" width="20.5" style="43" customWidth="1"/>
    <col min="5635" max="5635" width="23.25" style="43" customWidth="1"/>
    <col min="5636" max="5636" width="16.375" style="43" customWidth="1"/>
    <col min="5637" max="5637" width="17.375" style="43" customWidth="1"/>
    <col min="5638" max="5638" width="16.75" style="43" customWidth="1"/>
    <col min="5639" max="5639" width="25.75" style="43" customWidth="1"/>
    <col min="5640" max="5640" width="16.875" style="43" customWidth="1"/>
    <col min="5641" max="5641" width="15.125" style="43" customWidth="1"/>
    <col min="5642" max="5888" width="9" style="43"/>
    <col min="5889" max="5889" width="11.125" style="43" customWidth="1"/>
    <col min="5890" max="5890" width="20.5" style="43" customWidth="1"/>
    <col min="5891" max="5891" width="23.25" style="43" customWidth="1"/>
    <col min="5892" max="5892" width="16.375" style="43" customWidth="1"/>
    <col min="5893" max="5893" width="17.375" style="43" customWidth="1"/>
    <col min="5894" max="5894" width="16.75" style="43" customWidth="1"/>
    <col min="5895" max="5895" width="25.75" style="43" customWidth="1"/>
    <col min="5896" max="5896" width="16.875" style="43" customWidth="1"/>
    <col min="5897" max="5897" width="15.125" style="43" customWidth="1"/>
    <col min="5898" max="6144" width="9" style="43"/>
    <col min="6145" max="6145" width="11.125" style="43" customWidth="1"/>
    <col min="6146" max="6146" width="20.5" style="43" customWidth="1"/>
    <col min="6147" max="6147" width="23.25" style="43" customWidth="1"/>
    <col min="6148" max="6148" width="16.375" style="43" customWidth="1"/>
    <col min="6149" max="6149" width="17.375" style="43" customWidth="1"/>
    <col min="6150" max="6150" width="16.75" style="43" customWidth="1"/>
    <col min="6151" max="6151" width="25.75" style="43" customWidth="1"/>
    <col min="6152" max="6152" width="16.875" style="43" customWidth="1"/>
    <col min="6153" max="6153" width="15.125" style="43" customWidth="1"/>
    <col min="6154" max="6400" width="9" style="43"/>
    <col min="6401" max="6401" width="11.125" style="43" customWidth="1"/>
    <col min="6402" max="6402" width="20.5" style="43" customWidth="1"/>
    <col min="6403" max="6403" width="23.25" style="43" customWidth="1"/>
    <col min="6404" max="6404" width="16.375" style="43" customWidth="1"/>
    <col min="6405" max="6405" width="17.375" style="43" customWidth="1"/>
    <col min="6406" max="6406" width="16.75" style="43" customWidth="1"/>
    <col min="6407" max="6407" width="25.75" style="43" customWidth="1"/>
    <col min="6408" max="6408" width="16.875" style="43" customWidth="1"/>
    <col min="6409" max="6409" width="15.125" style="43" customWidth="1"/>
    <col min="6410" max="6656" width="9" style="43"/>
    <col min="6657" max="6657" width="11.125" style="43" customWidth="1"/>
    <col min="6658" max="6658" width="20.5" style="43" customWidth="1"/>
    <col min="6659" max="6659" width="23.25" style="43" customWidth="1"/>
    <col min="6660" max="6660" width="16.375" style="43" customWidth="1"/>
    <col min="6661" max="6661" width="17.375" style="43" customWidth="1"/>
    <col min="6662" max="6662" width="16.75" style="43" customWidth="1"/>
    <col min="6663" max="6663" width="25.75" style="43" customWidth="1"/>
    <col min="6664" max="6664" width="16.875" style="43" customWidth="1"/>
    <col min="6665" max="6665" width="15.125" style="43" customWidth="1"/>
    <col min="6666" max="6912" width="9" style="43"/>
    <col min="6913" max="6913" width="11.125" style="43" customWidth="1"/>
    <col min="6914" max="6914" width="20.5" style="43" customWidth="1"/>
    <col min="6915" max="6915" width="23.25" style="43" customWidth="1"/>
    <col min="6916" max="6916" width="16.375" style="43" customWidth="1"/>
    <col min="6917" max="6917" width="17.375" style="43" customWidth="1"/>
    <col min="6918" max="6918" width="16.75" style="43" customWidth="1"/>
    <col min="6919" max="6919" width="25.75" style="43" customWidth="1"/>
    <col min="6920" max="6920" width="16.875" style="43" customWidth="1"/>
    <col min="6921" max="6921" width="15.125" style="43" customWidth="1"/>
    <col min="6922" max="7168" width="9" style="43"/>
    <col min="7169" max="7169" width="11.125" style="43" customWidth="1"/>
    <col min="7170" max="7170" width="20.5" style="43" customWidth="1"/>
    <col min="7171" max="7171" width="23.25" style="43" customWidth="1"/>
    <col min="7172" max="7172" width="16.375" style="43" customWidth="1"/>
    <col min="7173" max="7173" width="17.375" style="43" customWidth="1"/>
    <col min="7174" max="7174" width="16.75" style="43" customWidth="1"/>
    <col min="7175" max="7175" width="25.75" style="43" customWidth="1"/>
    <col min="7176" max="7176" width="16.875" style="43" customWidth="1"/>
    <col min="7177" max="7177" width="15.125" style="43" customWidth="1"/>
    <col min="7178" max="7424" width="9" style="43"/>
    <col min="7425" max="7425" width="11.125" style="43" customWidth="1"/>
    <col min="7426" max="7426" width="20.5" style="43" customWidth="1"/>
    <col min="7427" max="7427" width="23.25" style="43" customWidth="1"/>
    <col min="7428" max="7428" width="16.375" style="43" customWidth="1"/>
    <col min="7429" max="7429" width="17.375" style="43" customWidth="1"/>
    <col min="7430" max="7430" width="16.75" style="43" customWidth="1"/>
    <col min="7431" max="7431" width="25.75" style="43" customWidth="1"/>
    <col min="7432" max="7432" width="16.875" style="43" customWidth="1"/>
    <col min="7433" max="7433" width="15.125" style="43" customWidth="1"/>
    <col min="7434" max="7680" width="9" style="43"/>
    <col min="7681" max="7681" width="11.125" style="43" customWidth="1"/>
    <col min="7682" max="7682" width="20.5" style="43" customWidth="1"/>
    <col min="7683" max="7683" width="23.25" style="43" customWidth="1"/>
    <col min="7684" max="7684" width="16.375" style="43" customWidth="1"/>
    <col min="7685" max="7685" width="17.375" style="43" customWidth="1"/>
    <col min="7686" max="7686" width="16.75" style="43" customWidth="1"/>
    <col min="7687" max="7687" width="25.75" style="43" customWidth="1"/>
    <col min="7688" max="7688" width="16.875" style="43" customWidth="1"/>
    <col min="7689" max="7689" width="15.125" style="43" customWidth="1"/>
    <col min="7690" max="7936" width="9" style="43"/>
    <col min="7937" max="7937" width="11.125" style="43" customWidth="1"/>
    <col min="7938" max="7938" width="20.5" style="43" customWidth="1"/>
    <col min="7939" max="7939" width="23.25" style="43" customWidth="1"/>
    <col min="7940" max="7940" width="16.375" style="43" customWidth="1"/>
    <col min="7941" max="7941" width="17.375" style="43" customWidth="1"/>
    <col min="7942" max="7942" width="16.75" style="43" customWidth="1"/>
    <col min="7943" max="7943" width="25.75" style="43" customWidth="1"/>
    <col min="7944" max="7944" width="16.875" style="43" customWidth="1"/>
    <col min="7945" max="7945" width="15.125" style="43" customWidth="1"/>
    <col min="7946" max="8192" width="9" style="43"/>
    <col min="8193" max="8193" width="11.125" style="43" customWidth="1"/>
    <col min="8194" max="8194" width="20.5" style="43" customWidth="1"/>
    <col min="8195" max="8195" width="23.25" style="43" customWidth="1"/>
    <col min="8196" max="8196" width="16.375" style="43" customWidth="1"/>
    <col min="8197" max="8197" width="17.375" style="43" customWidth="1"/>
    <col min="8198" max="8198" width="16.75" style="43" customWidth="1"/>
    <col min="8199" max="8199" width="25.75" style="43" customWidth="1"/>
    <col min="8200" max="8200" width="16.875" style="43" customWidth="1"/>
    <col min="8201" max="8201" width="15.125" style="43" customWidth="1"/>
    <col min="8202" max="8448" width="9" style="43"/>
    <col min="8449" max="8449" width="11.125" style="43" customWidth="1"/>
    <col min="8450" max="8450" width="20.5" style="43" customWidth="1"/>
    <col min="8451" max="8451" width="23.25" style="43" customWidth="1"/>
    <col min="8452" max="8452" width="16.375" style="43" customWidth="1"/>
    <col min="8453" max="8453" width="17.375" style="43" customWidth="1"/>
    <col min="8454" max="8454" width="16.75" style="43" customWidth="1"/>
    <col min="8455" max="8455" width="25.75" style="43" customWidth="1"/>
    <col min="8456" max="8456" width="16.875" style="43" customWidth="1"/>
    <col min="8457" max="8457" width="15.125" style="43" customWidth="1"/>
    <col min="8458" max="8704" width="9" style="43"/>
    <col min="8705" max="8705" width="11.125" style="43" customWidth="1"/>
    <col min="8706" max="8706" width="20.5" style="43" customWidth="1"/>
    <col min="8707" max="8707" width="23.25" style="43" customWidth="1"/>
    <col min="8708" max="8708" width="16.375" style="43" customWidth="1"/>
    <col min="8709" max="8709" width="17.375" style="43" customWidth="1"/>
    <col min="8710" max="8710" width="16.75" style="43" customWidth="1"/>
    <col min="8711" max="8711" width="25.75" style="43" customWidth="1"/>
    <col min="8712" max="8712" width="16.875" style="43" customWidth="1"/>
    <col min="8713" max="8713" width="15.125" style="43" customWidth="1"/>
    <col min="8714" max="8960" width="9" style="43"/>
    <col min="8961" max="8961" width="11.125" style="43" customWidth="1"/>
    <col min="8962" max="8962" width="20.5" style="43" customWidth="1"/>
    <col min="8963" max="8963" width="23.25" style="43" customWidth="1"/>
    <col min="8964" max="8964" width="16.375" style="43" customWidth="1"/>
    <col min="8965" max="8965" width="17.375" style="43" customWidth="1"/>
    <col min="8966" max="8966" width="16.75" style="43" customWidth="1"/>
    <col min="8967" max="8967" width="25.75" style="43" customWidth="1"/>
    <col min="8968" max="8968" width="16.875" style="43" customWidth="1"/>
    <col min="8969" max="8969" width="15.125" style="43" customWidth="1"/>
    <col min="8970" max="9216" width="9" style="43"/>
    <col min="9217" max="9217" width="11.125" style="43" customWidth="1"/>
    <col min="9218" max="9218" width="20.5" style="43" customWidth="1"/>
    <col min="9219" max="9219" width="23.25" style="43" customWidth="1"/>
    <col min="9220" max="9220" width="16.375" style="43" customWidth="1"/>
    <col min="9221" max="9221" width="17.375" style="43" customWidth="1"/>
    <col min="9222" max="9222" width="16.75" style="43" customWidth="1"/>
    <col min="9223" max="9223" width="25.75" style="43" customWidth="1"/>
    <col min="9224" max="9224" width="16.875" style="43" customWidth="1"/>
    <col min="9225" max="9225" width="15.125" style="43" customWidth="1"/>
    <col min="9226" max="9472" width="9" style="43"/>
    <col min="9473" max="9473" width="11.125" style="43" customWidth="1"/>
    <col min="9474" max="9474" width="20.5" style="43" customWidth="1"/>
    <col min="9475" max="9475" width="23.25" style="43" customWidth="1"/>
    <col min="9476" max="9476" width="16.375" style="43" customWidth="1"/>
    <col min="9477" max="9477" width="17.375" style="43" customWidth="1"/>
    <col min="9478" max="9478" width="16.75" style="43" customWidth="1"/>
    <col min="9479" max="9479" width="25.75" style="43" customWidth="1"/>
    <col min="9480" max="9480" width="16.875" style="43" customWidth="1"/>
    <col min="9481" max="9481" width="15.125" style="43" customWidth="1"/>
    <col min="9482" max="9728" width="9" style="43"/>
    <col min="9729" max="9729" width="11.125" style="43" customWidth="1"/>
    <col min="9730" max="9730" width="20.5" style="43" customWidth="1"/>
    <col min="9731" max="9731" width="23.25" style="43" customWidth="1"/>
    <col min="9732" max="9732" width="16.375" style="43" customWidth="1"/>
    <col min="9733" max="9733" width="17.375" style="43" customWidth="1"/>
    <col min="9734" max="9734" width="16.75" style="43" customWidth="1"/>
    <col min="9735" max="9735" width="25.75" style="43" customWidth="1"/>
    <col min="9736" max="9736" width="16.875" style="43" customWidth="1"/>
    <col min="9737" max="9737" width="15.125" style="43" customWidth="1"/>
    <col min="9738" max="9984" width="9" style="43"/>
    <col min="9985" max="9985" width="11.125" style="43" customWidth="1"/>
    <col min="9986" max="9986" width="20.5" style="43" customWidth="1"/>
    <col min="9987" max="9987" width="23.25" style="43" customWidth="1"/>
    <col min="9988" max="9988" width="16.375" style="43" customWidth="1"/>
    <col min="9989" max="9989" width="17.375" style="43" customWidth="1"/>
    <col min="9990" max="9990" width="16.75" style="43" customWidth="1"/>
    <col min="9991" max="9991" width="25.75" style="43" customWidth="1"/>
    <col min="9992" max="9992" width="16.875" style="43" customWidth="1"/>
    <col min="9993" max="9993" width="15.125" style="43" customWidth="1"/>
    <col min="9994" max="10240" width="9" style="43"/>
    <col min="10241" max="10241" width="11.125" style="43" customWidth="1"/>
    <col min="10242" max="10242" width="20.5" style="43" customWidth="1"/>
    <col min="10243" max="10243" width="23.25" style="43" customWidth="1"/>
    <col min="10244" max="10244" width="16.375" style="43" customWidth="1"/>
    <col min="10245" max="10245" width="17.375" style="43" customWidth="1"/>
    <col min="10246" max="10246" width="16.75" style="43" customWidth="1"/>
    <col min="10247" max="10247" width="25.75" style="43" customWidth="1"/>
    <col min="10248" max="10248" width="16.875" style="43" customWidth="1"/>
    <col min="10249" max="10249" width="15.125" style="43" customWidth="1"/>
    <col min="10250" max="10496" width="9" style="43"/>
    <col min="10497" max="10497" width="11.125" style="43" customWidth="1"/>
    <col min="10498" max="10498" width="20.5" style="43" customWidth="1"/>
    <col min="10499" max="10499" width="23.25" style="43" customWidth="1"/>
    <col min="10500" max="10500" width="16.375" style="43" customWidth="1"/>
    <col min="10501" max="10501" width="17.375" style="43" customWidth="1"/>
    <col min="10502" max="10502" width="16.75" style="43" customWidth="1"/>
    <col min="10503" max="10503" width="25.75" style="43" customWidth="1"/>
    <col min="10504" max="10504" width="16.875" style="43" customWidth="1"/>
    <col min="10505" max="10505" width="15.125" style="43" customWidth="1"/>
    <col min="10506" max="10752" width="9" style="43"/>
    <col min="10753" max="10753" width="11.125" style="43" customWidth="1"/>
    <col min="10754" max="10754" width="20.5" style="43" customWidth="1"/>
    <col min="10755" max="10755" width="23.25" style="43" customWidth="1"/>
    <col min="10756" max="10756" width="16.375" style="43" customWidth="1"/>
    <col min="10757" max="10757" width="17.375" style="43" customWidth="1"/>
    <col min="10758" max="10758" width="16.75" style="43" customWidth="1"/>
    <col min="10759" max="10759" width="25.75" style="43" customWidth="1"/>
    <col min="10760" max="10760" width="16.875" style="43" customWidth="1"/>
    <col min="10761" max="10761" width="15.125" style="43" customWidth="1"/>
    <col min="10762" max="11008" width="9" style="43"/>
    <col min="11009" max="11009" width="11.125" style="43" customWidth="1"/>
    <col min="11010" max="11010" width="20.5" style="43" customWidth="1"/>
    <col min="11011" max="11011" width="23.25" style="43" customWidth="1"/>
    <col min="11012" max="11012" width="16.375" style="43" customWidth="1"/>
    <col min="11013" max="11013" width="17.375" style="43" customWidth="1"/>
    <col min="11014" max="11014" width="16.75" style="43" customWidth="1"/>
    <col min="11015" max="11015" width="25.75" style="43" customWidth="1"/>
    <col min="11016" max="11016" width="16.875" style="43" customWidth="1"/>
    <col min="11017" max="11017" width="15.125" style="43" customWidth="1"/>
    <col min="11018" max="11264" width="9" style="43"/>
    <col min="11265" max="11265" width="11.125" style="43" customWidth="1"/>
    <col min="11266" max="11266" width="20.5" style="43" customWidth="1"/>
    <col min="11267" max="11267" width="23.25" style="43" customWidth="1"/>
    <col min="11268" max="11268" width="16.375" style="43" customWidth="1"/>
    <col min="11269" max="11269" width="17.375" style="43" customWidth="1"/>
    <col min="11270" max="11270" width="16.75" style="43" customWidth="1"/>
    <col min="11271" max="11271" width="25.75" style="43" customWidth="1"/>
    <col min="11272" max="11272" width="16.875" style="43" customWidth="1"/>
    <col min="11273" max="11273" width="15.125" style="43" customWidth="1"/>
    <col min="11274" max="11520" width="9" style="43"/>
    <col min="11521" max="11521" width="11.125" style="43" customWidth="1"/>
    <col min="11522" max="11522" width="20.5" style="43" customWidth="1"/>
    <col min="11523" max="11523" width="23.25" style="43" customWidth="1"/>
    <col min="11524" max="11524" width="16.375" style="43" customWidth="1"/>
    <col min="11525" max="11525" width="17.375" style="43" customWidth="1"/>
    <col min="11526" max="11526" width="16.75" style="43" customWidth="1"/>
    <col min="11527" max="11527" width="25.75" style="43" customWidth="1"/>
    <col min="11528" max="11528" width="16.875" style="43" customWidth="1"/>
    <col min="11529" max="11529" width="15.125" style="43" customWidth="1"/>
    <col min="11530" max="11776" width="9" style="43"/>
    <col min="11777" max="11777" width="11.125" style="43" customWidth="1"/>
    <col min="11778" max="11778" width="20.5" style="43" customWidth="1"/>
    <col min="11779" max="11779" width="23.25" style="43" customWidth="1"/>
    <col min="11780" max="11780" width="16.375" style="43" customWidth="1"/>
    <col min="11781" max="11781" width="17.375" style="43" customWidth="1"/>
    <col min="11782" max="11782" width="16.75" style="43" customWidth="1"/>
    <col min="11783" max="11783" width="25.75" style="43" customWidth="1"/>
    <col min="11784" max="11784" width="16.875" style="43" customWidth="1"/>
    <col min="11785" max="11785" width="15.125" style="43" customWidth="1"/>
    <col min="11786" max="12032" width="9" style="43"/>
    <col min="12033" max="12033" width="11.125" style="43" customWidth="1"/>
    <col min="12034" max="12034" width="20.5" style="43" customWidth="1"/>
    <col min="12035" max="12035" width="23.25" style="43" customWidth="1"/>
    <col min="12036" max="12036" width="16.375" style="43" customWidth="1"/>
    <col min="12037" max="12037" width="17.375" style="43" customWidth="1"/>
    <col min="12038" max="12038" width="16.75" style="43" customWidth="1"/>
    <col min="12039" max="12039" width="25.75" style="43" customWidth="1"/>
    <col min="12040" max="12040" width="16.875" style="43" customWidth="1"/>
    <col min="12041" max="12041" width="15.125" style="43" customWidth="1"/>
    <col min="12042" max="12288" width="9" style="43"/>
    <col min="12289" max="12289" width="11.125" style="43" customWidth="1"/>
    <col min="12290" max="12290" width="20.5" style="43" customWidth="1"/>
    <col min="12291" max="12291" width="23.25" style="43" customWidth="1"/>
    <col min="12292" max="12292" width="16.375" style="43" customWidth="1"/>
    <col min="12293" max="12293" width="17.375" style="43" customWidth="1"/>
    <col min="12294" max="12294" width="16.75" style="43" customWidth="1"/>
    <col min="12295" max="12295" width="25.75" style="43" customWidth="1"/>
    <col min="12296" max="12296" width="16.875" style="43" customWidth="1"/>
    <col min="12297" max="12297" width="15.125" style="43" customWidth="1"/>
    <col min="12298" max="12544" width="9" style="43"/>
    <col min="12545" max="12545" width="11.125" style="43" customWidth="1"/>
    <col min="12546" max="12546" width="20.5" style="43" customWidth="1"/>
    <col min="12547" max="12547" width="23.25" style="43" customWidth="1"/>
    <col min="12548" max="12548" width="16.375" style="43" customWidth="1"/>
    <col min="12549" max="12549" width="17.375" style="43" customWidth="1"/>
    <col min="12550" max="12550" width="16.75" style="43" customWidth="1"/>
    <col min="12551" max="12551" width="25.75" style="43" customWidth="1"/>
    <col min="12552" max="12552" width="16.875" style="43" customWidth="1"/>
    <col min="12553" max="12553" width="15.125" style="43" customWidth="1"/>
    <col min="12554" max="12800" width="9" style="43"/>
    <col min="12801" max="12801" width="11.125" style="43" customWidth="1"/>
    <col min="12802" max="12802" width="20.5" style="43" customWidth="1"/>
    <col min="12803" max="12803" width="23.25" style="43" customWidth="1"/>
    <col min="12804" max="12804" width="16.375" style="43" customWidth="1"/>
    <col min="12805" max="12805" width="17.375" style="43" customWidth="1"/>
    <col min="12806" max="12806" width="16.75" style="43" customWidth="1"/>
    <col min="12807" max="12807" width="25.75" style="43" customWidth="1"/>
    <col min="12808" max="12808" width="16.875" style="43" customWidth="1"/>
    <col min="12809" max="12809" width="15.125" style="43" customWidth="1"/>
    <col min="12810" max="13056" width="9" style="43"/>
    <col min="13057" max="13057" width="11.125" style="43" customWidth="1"/>
    <col min="13058" max="13058" width="20.5" style="43" customWidth="1"/>
    <col min="13059" max="13059" width="23.25" style="43" customWidth="1"/>
    <col min="13060" max="13060" width="16.375" style="43" customWidth="1"/>
    <col min="13061" max="13061" width="17.375" style="43" customWidth="1"/>
    <col min="13062" max="13062" width="16.75" style="43" customWidth="1"/>
    <col min="13063" max="13063" width="25.75" style="43" customWidth="1"/>
    <col min="13064" max="13064" width="16.875" style="43" customWidth="1"/>
    <col min="13065" max="13065" width="15.125" style="43" customWidth="1"/>
    <col min="13066" max="13312" width="9" style="43"/>
    <col min="13313" max="13313" width="11.125" style="43" customWidth="1"/>
    <col min="13314" max="13314" width="20.5" style="43" customWidth="1"/>
    <col min="13315" max="13315" width="23.25" style="43" customWidth="1"/>
    <col min="13316" max="13316" width="16.375" style="43" customWidth="1"/>
    <col min="13317" max="13317" width="17.375" style="43" customWidth="1"/>
    <col min="13318" max="13318" width="16.75" style="43" customWidth="1"/>
    <col min="13319" max="13319" width="25.75" style="43" customWidth="1"/>
    <col min="13320" max="13320" width="16.875" style="43" customWidth="1"/>
    <col min="13321" max="13321" width="15.125" style="43" customWidth="1"/>
    <col min="13322" max="13568" width="9" style="43"/>
    <col min="13569" max="13569" width="11.125" style="43" customWidth="1"/>
    <col min="13570" max="13570" width="20.5" style="43" customWidth="1"/>
    <col min="13571" max="13571" width="23.25" style="43" customWidth="1"/>
    <col min="13572" max="13572" width="16.375" style="43" customWidth="1"/>
    <col min="13573" max="13573" width="17.375" style="43" customWidth="1"/>
    <col min="13574" max="13574" width="16.75" style="43" customWidth="1"/>
    <col min="13575" max="13575" width="25.75" style="43" customWidth="1"/>
    <col min="13576" max="13576" width="16.875" style="43" customWidth="1"/>
    <col min="13577" max="13577" width="15.125" style="43" customWidth="1"/>
    <col min="13578" max="13824" width="9" style="43"/>
    <col min="13825" max="13825" width="11.125" style="43" customWidth="1"/>
    <col min="13826" max="13826" width="20.5" style="43" customWidth="1"/>
    <col min="13827" max="13827" width="23.25" style="43" customWidth="1"/>
    <col min="13828" max="13828" width="16.375" style="43" customWidth="1"/>
    <col min="13829" max="13829" width="17.375" style="43" customWidth="1"/>
    <col min="13830" max="13830" width="16.75" style="43" customWidth="1"/>
    <col min="13831" max="13831" width="25.75" style="43" customWidth="1"/>
    <col min="13832" max="13832" width="16.875" style="43" customWidth="1"/>
    <col min="13833" max="13833" width="15.125" style="43" customWidth="1"/>
    <col min="13834" max="14080" width="9" style="43"/>
    <col min="14081" max="14081" width="11.125" style="43" customWidth="1"/>
    <col min="14082" max="14082" width="20.5" style="43" customWidth="1"/>
    <col min="14083" max="14083" width="23.25" style="43" customWidth="1"/>
    <col min="14084" max="14084" width="16.375" style="43" customWidth="1"/>
    <col min="14085" max="14085" width="17.375" style="43" customWidth="1"/>
    <col min="14086" max="14086" width="16.75" style="43" customWidth="1"/>
    <col min="14087" max="14087" width="25.75" style="43" customWidth="1"/>
    <col min="14088" max="14088" width="16.875" style="43" customWidth="1"/>
    <col min="14089" max="14089" width="15.125" style="43" customWidth="1"/>
    <col min="14090" max="14336" width="9" style="43"/>
    <col min="14337" max="14337" width="11.125" style="43" customWidth="1"/>
    <col min="14338" max="14338" width="20.5" style="43" customWidth="1"/>
    <col min="14339" max="14339" width="23.25" style="43" customWidth="1"/>
    <col min="14340" max="14340" width="16.375" style="43" customWidth="1"/>
    <col min="14341" max="14341" width="17.375" style="43" customWidth="1"/>
    <col min="14342" max="14342" width="16.75" style="43" customWidth="1"/>
    <col min="14343" max="14343" width="25.75" style="43" customWidth="1"/>
    <col min="14344" max="14344" width="16.875" style="43" customWidth="1"/>
    <col min="14345" max="14345" width="15.125" style="43" customWidth="1"/>
    <col min="14346" max="14592" width="9" style="43"/>
    <col min="14593" max="14593" width="11.125" style="43" customWidth="1"/>
    <col min="14594" max="14594" width="20.5" style="43" customWidth="1"/>
    <col min="14595" max="14595" width="23.25" style="43" customWidth="1"/>
    <col min="14596" max="14596" width="16.375" style="43" customWidth="1"/>
    <col min="14597" max="14597" width="17.375" style="43" customWidth="1"/>
    <col min="14598" max="14598" width="16.75" style="43" customWidth="1"/>
    <col min="14599" max="14599" width="25.75" style="43" customWidth="1"/>
    <col min="14600" max="14600" width="16.875" style="43" customWidth="1"/>
    <col min="14601" max="14601" width="15.125" style="43" customWidth="1"/>
    <col min="14602" max="14848" width="9" style="43"/>
    <col min="14849" max="14849" width="11.125" style="43" customWidth="1"/>
    <col min="14850" max="14850" width="20.5" style="43" customWidth="1"/>
    <col min="14851" max="14851" width="23.25" style="43" customWidth="1"/>
    <col min="14852" max="14852" width="16.375" style="43" customWidth="1"/>
    <col min="14853" max="14853" width="17.375" style="43" customWidth="1"/>
    <col min="14854" max="14854" width="16.75" style="43" customWidth="1"/>
    <col min="14855" max="14855" width="25.75" style="43" customWidth="1"/>
    <col min="14856" max="14856" width="16.875" style="43" customWidth="1"/>
    <col min="14857" max="14857" width="15.125" style="43" customWidth="1"/>
    <col min="14858" max="15104" width="9" style="43"/>
    <col min="15105" max="15105" width="11.125" style="43" customWidth="1"/>
    <col min="15106" max="15106" width="20.5" style="43" customWidth="1"/>
    <col min="15107" max="15107" width="23.25" style="43" customWidth="1"/>
    <col min="15108" max="15108" width="16.375" style="43" customWidth="1"/>
    <col min="15109" max="15109" width="17.375" style="43" customWidth="1"/>
    <col min="15110" max="15110" width="16.75" style="43" customWidth="1"/>
    <col min="15111" max="15111" width="25.75" style="43" customWidth="1"/>
    <col min="15112" max="15112" width="16.875" style="43" customWidth="1"/>
    <col min="15113" max="15113" width="15.125" style="43" customWidth="1"/>
    <col min="15114" max="15360" width="9" style="43"/>
    <col min="15361" max="15361" width="11.125" style="43" customWidth="1"/>
    <col min="15362" max="15362" width="20.5" style="43" customWidth="1"/>
    <col min="15363" max="15363" width="23.25" style="43" customWidth="1"/>
    <col min="15364" max="15364" width="16.375" style="43" customWidth="1"/>
    <col min="15365" max="15365" width="17.375" style="43" customWidth="1"/>
    <col min="15366" max="15366" width="16.75" style="43" customWidth="1"/>
    <col min="15367" max="15367" width="25.75" style="43" customWidth="1"/>
    <col min="15368" max="15368" width="16.875" style="43" customWidth="1"/>
    <col min="15369" max="15369" width="15.125" style="43" customWidth="1"/>
    <col min="15370" max="15616" width="9" style="43"/>
    <col min="15617" max="15617" width="11.125" style="43" customWidth="1"/>
    <col min="15618" max="15618" width="20.5" style="43" customWidth="1"/>
    <col min="15619" max="15619" width="23.25" style="43" customWidth="1"/>
    <col min="15620" max="15620" width="16.375" style="43" customWidth="1"/>
    <col min="15621" max="15621" width="17.375" style="43" customWidth="1"/>
    <col min="15622" max="15622" width="16.75" style="43" customWidth="1"/>
    <col min="15623" max="15623" width="25.75" style="43" customWidth="1"/>
    <col min="15624" max="15624" width="16.875" style="43" customWidth="1"/>
    <col min="15625" max="15625" width="15.125" style="43" customWidth="1"/>
    <col min="15626" max="15872" width="9" style="43"/>
    <col min="15873" max="15873" width="11.125" style="43" customWidth="1"/>
    <col min="15874" max="15874" width="20.5" style="43" customWidth="1"/>
    <col min="15875" max="15875" width="23.25" style="43" customWidth="1"/>
    <col min="15876" max="15876" width="16.375" style="43" customWidth="1"/>
    <col min="15877" max="15877" width="17.375" style="43" customWidth="1"/>
    <col min="15878" max="15878" width="16.75" style="43" customWidth="1"/>
    <col min="15879" max="15879" width="25.75" style="43" customWidth="1"/>
    <col min="15880" max="15880" width="16.875" style="43" customWidth="1"/>
    <col min="15881" max="15881" width="15.125" style="43" customWidth="1"/>
    <col min="15882" max="16128" width="9" style="43"/>
    <col min="16129" max="16129" width="11.125" style="43" customWidth="1"/>
    <col min="16130" max="16130" width="20.5" style="43" customWidth="1"/>
    <col min="16131" max="16131" width="23.25" style="43" customWidth="1"/>
    <col min="16132" max="16132" width="16.375" style="43" customWidth="1"/>
    <col min="16133" max="16133" width="17.375" style="43" customWidth="1"/>
    <col min="16134" max="16134" width="16.75" style="43" customWidth="1"/>
    <col min="16135" max="16135" width="25.75" style="43" customWidth="1"/>
    <col min="16136" max="16136" width="16.875" style="43" customWidth="1"/>
    <col min="16137" max="16137" width="15.125" style="43" customWidth="1"/>
    <col min="16138" max="16384" width="9" style="43"/>
  </cols>
  <sheetData>
    <row r="1" spans="1:9">
      <c r="A1" s="771" t="s">
        <v>264</v>
      </c>
      <c r="B1" s="772"/>
      <c r="C1" s="772"/>
      <c r="D1" s="772"/>
      <c r="E1" s="772"/>
      <c r="F1" s="772"/>
      <c r="G1" s="772"/>
    </row>
    <row r="2" spans="1:9">
      <c r="A2" s="771" t="s">
        <v>287</v>
      </c>
      <c r="B2" s="772"/>
      <c r="C2" s="772"/>
      <c r="D2" s="772"/>
      <c r="E2" s="772"/>
      <c r="F2" s="772"/>
      <c r="G2" s="772"/>
    </row>
    <row r="3" spans="1:9">
      <c r="A3" s="771" t="s">
        <v>1012</v>
      </c>
      <c r="B3" s="772"/>
      <c r="C3" s="772"/>
      <c r="D3" s="772"/>
      <c r="E3" s="772"/>
      <c r="F3" s="772"/>
      <c r="G3" s="772"/>
    </row>
    <row r="5" spans="1:9" ht="36.75" customHeight="1">
      <c r="A5" s="773" t="s">
        <v>65</v>
      </c>
      <c r="B5" s="775" t="s">
        <v>50</v>
      </c>
      <c r="C5" s="775" t="s">
        <v>39</v>
      </c>
      <c r="D5" s="777" t="s">
        <v>66</v>
      </c>
      <c r="E5" s="777" t="s">
        <v>93</v>
      </c>
      <c r="F5" s="777" t="s">
        <v>94</v>
      </c>
      <c r="G5" s="777" t="s">
        <v>35</v>
      </c>
    </row>
    <row r="6" spans="1:9" ht="30" customHeight="1">
      <c r="A6" s="774"/>
      <c r="B6" s="776"/>
      <c r="C6" s="776"/>
      <c r="D6" s="778"/>
      <c r="E6" s="778"/>
      <c r="F6" s="778"/>
      <c r="G6" s="778"/>
    </row>
    <row r="7" spans="1:9">
      <c r="A7" s="50" t="s">
        <v>96</v>
      </c>
      <c r="B7" s="50"/>
      <c r="C7" s="50"/>
      <c r="D7" s="54"/>
      <c r="E7" s="54"/>
      <c r="F7" s="54"/>
      <c r="G7" s="54"/>
      <c r="H7" s="59"/>
    </row>
    <row r="8" spans="1:9">
      <c r="A8" s="52" t="s">
        <v>69</v>
      </c>
      <c r="B8" s="53" t="s">
        <v>268</v>
      </c>
      <c r="C8" s="53" t="s">
        <v>197</v>
      </c>
      <c r="D8" s="54"/>
      <c r="E8" s="54"/>
      <c r="F8" s="54"/>
      <c r="G8" s="54">
        <f>SUM(E8:F8)</f>
        <v>0</v>
      </c>
      <c r="H8" s="59"/>
    </row>
    <row r="9" spans="1:9">
      <c r="A9" s="52"/>
      <c r="B9" s="53" t="s">
        <v>269</v>
      </c>
      <c r="C9" s="53" t="s">
        <v>197</v>
      </c>
      <c r="D9" s="54">
        <f>'Sheet3 (โอน)'!D80</f>
        <v>207220</v>
      </c>
      <c r="E9" s="54">
        <f>'Sheet3 (โอน)'!E80</f>
        <v>159420</v>
      </c>
      <c r="F9" s="54"/>
      <c r="G9" s="54">
        <f>SUM(E9:F9)</f>
        <v>159420</v>
      </c>
      <c r="H9" s="59"/>
    </row>
    <row r="10" spans="1:9">
      <c r="A10" s="52" t="s">
        <v>70</v>
      </c>
      <c r="B10" s="53" t="s">
        <v>270</v>
      </c>
      <c r="C10" s="53" t="s">
        <v>197</v>
      </c>
      <c r="D10" s="54">
        <f>'Sheet3 (โอน)'!D129</f>
        <v>27800</v>
      </c>
      <c r="E10" s="54">
        <f>'Sheet3 (โอน)'!E129</f>
        <v>0</v>
      </c>
      <c r="F10" s="54"/>
      <c r="G10" s="54">
        <f>SUM(E10:F10)</f>
        <v>0</v>
      </c>
      <c r="H10" s="59"/>
    </row>
    <row r="11" spans="1:9">
      <c r="A11" s="52"/>
      <c r="B11" s="53" t="s">
        <v>271</v>
      </c>
      <c r="C11" s="53" t="s">
        <v>197</v>
      </c>
      <c r="D11" s="54">
        <f>'Sheet3 (โอน)'!D243+'Sheet3 (โอน)'!D249</f>
        <v>200000</v>
      </c>
      <c r="E11" s="54">
        <f>'Sheet3 (โอน)'!E243</f>
        <v>10236</v>
      </c>
      <c r="F11" s="54">
        <f>'Sheet3 (โอน)'!E249</f>
        <v>27320</v>
      </c>
      <c r="G11" s="54">
        <f>SUM(E11:F11)</f>
        <v>37556</v>
      </c>
      <c r="H11" s="59"/>
      <c r="I11" s="56"/>
    </row>
    <row r="12" spans="1:9">
      <c r="A12" s="52"/>
      <c r="B12" s="53" t="s">
        <v>272</v>
      </c>
      <c r="C12" s="53" t="s">
        <v>197</v>
      </c>
      <c r="D12" s="54">
        <f>'Sheet3 (โอน)'!D299</f>
        <v>10000</v>
      </c>
      <c r="E12" s="54">
        <f>'Sheet3 (โอน)'!E299</f>
        <v>10000</v>
      </c>
      <c r="F12" s="54"/>
      <c r="G12" s="54">
        <f>SUM(E12:F12)</f>
        <v>10000</v>
      </c>
      <c r="H12" s="59"/>
    </row>
    <row r="13" spans="1:9">
      <c r="A13" s="52"/>
      <c r="B13" s="53" t="s">
        <v>74</v>
      </c>
      <c r="C13" s="53" t="s">
        <v>197</v>
      </c>
      <c r="D13" s="54">
        <v>0</v>
      </c>
      <c r="E13" s="54"/>
      <c r="F13" s="54"/>
      <c r="G13" s="54"/>
      <c r="H13" s="59"/>
    </row>
    <row r="14" spans="1:9">
      <c r="A14" s="52" t="s">
        <v>75</v>
      </c>
      <c r="B14" s="53" t="s">
        <v>273</v>
      </c>
      <c r="C14" s="53" t="s">
        <v>197</v>
      </c>
      <c r="D14" s="54">
        <f>'Sheet3 (โอน)'!D370</f>
        <v>8000</v>
      </c>
      <c r="E14" s="54">
        <f>'Sheet3 (โอน)'!E370</f>
        <v>8000</v>
      </c>
      <c r="F14" s="54"/>
      <c r="G14" s="54">
        <f>SUM(E14:F14)</f>
        <v>8000</v>
      </c>
      <c r="H14" s="59"/>
    </row>
    <row r="15" spans="1:9">
      <c r="A15" s="52"/>
      <c r="B15" s="53" t="s">
        <v>274</v>
      </c>
      <c r="C15" s="53" t="s">
        <v>197</v>
      </c>
      <c r="D15" s="54">
        <f>'Sheet3 (โอน)'!D427</f>
        <v>775000</v>
      </c>
      <c r="E15" s="54"/>
      <c r="F15" s="54">
        <f>'Sheet3 (โอน)'!E426</f>
        <v>655000</v>
      </c>
      <c r="G15" s="54">
        <f>SUM(E15:F15)</f>
        <v>655000</v>
      </c>
      <c r="H15" s="59"/>
    </row>
    <row r="16" spans="1:9">
      <c r="A16" s="52" t="s">
        <v>78</v>
      </c>
      <c r="B16" s="53" t="s">
        <v>79</v>
      </c>
      <c r="C16" s="53" t="s">
        <v>197</v>
      </c>
      <c r="D16" s="54">
        <v>0</v>
      </c>
      <c r="E16" s="54"/>
      <c r="F16" s="54"/>
      <c r="G16" s="54"/>
      <c r="H16" s="59"/>
    </row>
    <row r="17" spans="1:9">
      <c r="A17" s="52" t="s">
        <v>80</v>
      </c>
      <c r="B17" s="53" t="s">
        <v>275</v>
      </c>
      <c r="C17" s="53" t="s">
        <v>197</v>
      </c>
      <c r="D17" s="54">
        <v>0</v>
      </c>
      <c r="E17" s="54"/>
      <c r="F17" s="54"/>
      <c r="G17" s="54"/>
      <c r="H17" s="59"/>
    </row>
    <row r="18" spans="1:9">
      <c r="A18" s="768" t="s">
        <v>35</v>
      </c>
      <c r="B18" s="769"/>
      <c r="C18" s="770"/>
      <c r="D18" s="60">
        <f>SUM(D8:D17)</f>
        <v>1228020</v>
      </c>
      <c r="E18" s="60">
        <f>SUM(E8:E17)</f>
        <v>187656</v>
      </c>
      <c r="F18" s="60">
        <f>SUM(F8:F17)</f>
        <v>682320</v>
      </c>
      <c r="G18" s="60">
        <f>SUM(G8:G17)</f>
        <v>869976</v>
      </c>
      <c r="H18" s="59"/>
    </row>
    <row r="20" spans="1:9" s="293" customFormat="1" ht="21">
      <c r="A20" s="293" t="s">
        <v>64</v>
      </c>
      <c r="D20" s="321"/>
      <c r="E20" s="321"/>
      <c r="F20" s="321"/>
      <c r="G20" s="321"/>
      <c r="H20" s="321"/>
      <c r="I20" s="321"/>
    </row>
  </sheetData>
  <mergeCells count="11">
    <mergeCell ref="A18:C18"/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ageMargins left="0.4" right="0.26" top="0.46" bottom="0.38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E24" sqref="E24"/>
    </sheetView>
  </sheetViews>
  <sheetFormatPr defaultRowHeight="24.75"/>
  <cols>
    <col min="1" max="1" width="19.875" style="43" customWidth="1"/>
    <col min="2" max="2" width="23.5" style="43" customWidth="1"/>
    <col min="3" max="3" width="23.25" style="43" customWidth="1"/>
    <col min="4" max="4" width="20.75" style="56" customWidth="1"/>
    <col min="5" max="5" width="20.625" style="56" customWidth="1"/>
    <col min="6" max="6" width="20.25" style="56" customWidth="1"/>
    <col min="7" max="256" width="9" style="43"/>
    <col min="257" max="257" width="19.875" style="43" customWidth="1"/>
    <col min="258" max="258" width="23.5" style="43" customWidth="1"/>
    <col min="259" max="259" width="23.25" style="43" customWidth="1"/>
    <col min="260" max="260" width="17.125" style="43" customWidth="1"/>
    <col min="261" max="261" width="18.375" style="43" customWidth="1"/>
    <col min="262" max="262" width="18.625" style="43" customWidth="1"/>
    <col min="263" max="512" width="9" style="43"/>
    <col min="513" max="513" width="19.875" style="43" customWidth="1"/>
    <col min="514" max="514" width="23.5" style="43" customWidth="1"/>
    <col min="515" max="515" width="23.25" style="43" customWidth="1"/>
    <col min="516" max="516" width="17.125" style="43" customWidth="1"/>
    <col min="517" max="517" width="18.375" style="43" customWidth="1"/>
    <col min="518" max="518" width="18.625" style="43" customWidth="1"/>
    <col min="519" max="768" width="9" style="43"/>
    <col min="769" max="769" width="19.875" style="43" customWidth="1"/>
    <col min="770" max="770" width="23.5" style="43" customWidth="1"/>
    <col min="771" max="771" width="23.25" style="43" customWidth="1"/>
    <col min="772" max="772" width="17.125" style="43" customWidth="1"/>
    <col min="773" max="773" width="18.375" style="43" customWidth="1"/>
    <col min="774" max="774" width="18.625" style="43" customWidth="1"/>
    <col min="775" max="1024" width="9" style="43"/>
    <col min="1025" max="1025" width="19.875" style="43" customWidth="1"/>
    <col min="1026" max="1026" width="23.5" style="43" customWidth="1"/>
    <col min="1027" max="1027" width="23.25" style="43" customWidth="1"/>
    <col min="1028" max="1028" width="17.125" style="43" customWidth="1"/>
    <col min="1029" max="1029" width="18.375" style="43" customWidth="1"/>
    <col min="1030" max="1030" width="18.625" style="43" customWidth="1"/>
    <col min="1031" max="1280" width="9" style="43"/>
    <col min="1281" max="1281" width="19.875" style="43" customWidth="1"/>
    <col min="1282" max="1282" width="23.5" style="43" customWidth="1"/>
    <col min="1283" max="1283" width="23.25" style="43" customWidth="1"/>
    <col min="1284" max="1284" width="17.125" style="43" customWidth="1"/>
    <col min="1285" max="1285" width="18.375" style="43" customWidth="1"/>
    <col min="1286" max="1286" width="18.625" style="43" customWidth="1"/>
    <col min="1287" max="1536" width="9" style="43"/>
    <col min="1537" max="1537" width="19.875" style="43" customWidth="1"/>
    <col min="1538" max="1538" width="23.5" style="43" customWidth="1"/>
    <col min="1539" max="1539" width="23.25" style="43" customWidth="1"/>
    <col min="1540" max="1540" width="17.125" style="43" customWidth="1"/>
    <col min="1541" max="1541" width="18.375" style="43" customWidth="1"/>
    <col min="1542" max="1542" width="18.625" style="43" customWidth="1"/>
    <col min="1543" max="1792" width="9" style="43"/>
    <col min="1793" max="1793" width="19.875" style="43" customWidth="1"/>
    <col min="1794" max="1794" width="23.5" style="43" customWidth="1"/>
    <col min="1795" max="1795" width="23.25" style="43" customWidth="1"/>
    <col min="1796" max="1796" width="17.125" style="43" customWidth="1"/>
    <col min="1797" max="1797" width="18.375" style="43" customWidth="1"/>
    <col min="1798" max="1798" width="18.625" style="43" customWidth="1"/>
    <col min="1799" max="2048" width="9" style="43"/>
    <col min="2049" max="2049" width="19.875" style="43" customWidth="1"/>
    <col min="2050" max="2050" width="23.5" style="43" customWidth="1"/>
    <col min="2051" max="2051" width="23.25" style="43" customWidth="1"/>
    <col min="2052" max="2052" width="17.125" style="43" customWidth="1"/>
    <col min="2053" max="2053" width="18.375" style="43" customWidth="1"/>
    <col min="2054" max="2054" width="18.625" style="43" customWidth="1"/>
    <col min="2055" max="2304" width="9" style="43"/>
    <col min="2305" max="2305" width="19.875" style="43" customWidth="1"/>
    <col min="2306" max="2306" width="23.5" style="43" customWidth="1"/>
    <col min="2307" max="2307" width="23.25" style="43" customWidth="1"/>
    <col min="2308" max="2308" width="17.125" style="43" customWidth="1"/>
    <col min="2309" max="2309" width="18.375" style="43" customWidth="1"/>
    <col min="2310" max="2310" width="18.625" style="43" customWidth="1"/>
    <col min="2311" max="2560" width="9" style="43"/>
    <col min="2561" max="2561" width="19.875" style="43" customWidth="1"/>
    <col min="2562" max="2562" width="23.5" style="43" customWidth="1"/>
    <col min="2563" max="2563" width="23.25" style="43" customWidth="1"/>
    <col min="2564" max="2564" width="17.125" style="43" customWidth="1"/>
    <col min="2565" max="2565" width="18.375" style="43" customWidth="1"/>
    <col min="2566" max="2566" width="18.625" style="43" customWidth="1"/>
    <col min="2567" max="2816" width="9" style="43"/>
    <col min="2817" max="2817" width="19.875" style="43" customWidth="1"/>
    <col min="2818" max="2818" width="23.5" style="43" customWidth="1"/>
    <col min="2819" max="2819" width="23.25" style="43" customWidth="1"/>
    <col min="2820" max="2820" width="17.125" style="43" customWidth="1"/>
    <col min="2821" max="2821" width="18.375" style="43" customWidth="1"/>
    <col min="2822" max="2822" width="18.625" style="43" customWidth="1"/>
    <col min="2823" max="3072" width="9" style="43"/>
    <col min="3073" max="3073" width="19.875" style="43" customWidth="1"/>
    <col min="3074" max="3074" width="23.5" style="43" customWidth="1"/>
    <col min="3075" max="3075" width="23.25" style="43" customWidth="1"/>
    <col min="3076" max="3076" width="17.125" style="43" customWidth="1"/>
    <col min="3077" max="3077" width="18.375" style="43" customWidth="1"/>
    <col min="3078" max="3078" width="18.625" style="43" customWidth="1"/>
    <col min="3079" max="3328" width="9" style="43"/>
    <col min="3329" max="3329" width="19.875" style="43" customWidth="1"/>
    <col min="3330" max="3330" width="23.5" style="43" customWidth="1"/>
    <col min="3331" max="3331" width="23.25" style="43" customWidth="1"/>
    <col min="3332" max="3332" width="17.125" style="43" customWidth="1"/>
    <col min="3333" max="3333" width="18.375" style="43" customWidth="1"/>
    <col min="3334" max="3334" width="18.625" style="43" customWidth="1"/>
    <col min="3335" max="3584" width="9" style="43"/>
    <col min="3585" max="3585" width="19.875" style="43" customWidth="1"/>
    <col min="3586" max="3586" width="23.5" style="43" customWidth="1"/>
    <col min="3587" max="3587" width="23.25" style="43" customWidth="1"/>
    <col min="3588" max="3588" width="17.125" style="43" customWidth="1"/>
    <col min="3589" max="3589" width="18.375" style="43" customWidth="1"/>
    <col min="3590" max="3590" width="18.625" style="43" customWidth="1"/>
    <col min="3591" max="3840" width="9" style="43"/>
    <col min="3841" max="3841" width="19.875" style="43" customWidth="1"/>
    <col min="3842" max="3842" width="23.5" style="43" customWidth="1"/>
    <col min="3843" max="3843" width="23.25" style="43" customWidth="1"/>
    <col min="3844" max="3844" width="17.125" style="43" customWidth="1"/>
    <col min="3845" max="3845" width="18.375" style="43" customWidth="1"/>
    <col min="3846" max="3846" width="18.625" style="43" customWidth="1"/>
    <col min="3847" max="4096" width="9" style="43"/>
    <col min="4097" max="4097" width="19.875" style="43" customWidth="1"/>
    <col min="4098" max="4098" width="23.5" style="43" customWidth="1"/>
    <col min="4099" max="4099" width="23.25" style="43" customWidth="1"/>
    <col min="4100" max="4100" width="17.125" style="43" customWidth="1"/>
    <col min="4101" max="4101" width="18.375" style="43" customWidth="1"/>
    <col min="4102" max="4102" width="18.625" style="43" customWidth="1"/>
    <col min="4103" max="4352" width="9" style="43"/>
    <col min="4353" max="4353" width="19.875" style="43" customWidth="1"/>
    <col min="4354" max="4354" width="23.5" style="43" customWidth="1"/>
    <col min="4355" max="4355" width="23.25" style="43" customWidth="1"/>
    <col min="4356" max="4356" width="17.125" style="43" customWidth="1"/>
    <col min="4357" max="4357" width="18.375" style="43" customWidth="1"/>
    <col min="4358" max="4358" width="18.625" style="43" customWidth="1"/>
    <col min="4359" max="4608" width="9" style="43"/>
    <col min="4609" max="4609" width="19.875" style="43" customWidth="1"/>
    <col min="4610" max="4610" width="23.5" style="43" customWidth="1"/>
    <col min="4611" max="4611" width="23.25" style="43" customWidth="1"/>
    <col min="4612" max="4612" width="17.125" style="43" customWidth="1"/>
    <col min="4613" max="4613" width="18.375" style="43" customWidth="1"/>
    <col min="4614" max="4614" width="18.625" style="43" customWidth="1"/>
    <col min="4615" max="4864" width="9" style="43"/>
    <col min="4865" max="4865" width="19.875" style="43" customWidth="1"/>
    <col min="4866" max="4866" width="23.5" style="43" customWidth="1"/>
    <col min="4867" max="4867" width="23.25" style="43" customWidth="1"/>
    <col min="4868" max="4868" width="17.125" style="43" customWidth="1"/>
    <col min="4869" max="4869" width="18.375" style="43" customWidth="1"/>
    <col min="4870" max="4870" width="18.625" style="43" customWidth="1"/>
    <col min="4871" max="5120" width="9" style="43"/>
    <col min="5121" max="5121" width="19.875" style="43" customWidth="1"/>
    <col min="5122" max="5122" width="23.5" style="43" customWidth="1"/>
    <col min="5123" max="5123" width="23.25" style="43" customWidth="1"/>
    <col min="5124" max="5124" width="17.125" style="43" customWidth="1"/>
    <col min="5125" max="5125" width="18.375" style="43" customWidth="1"/>
    <col min="5126" max="5126" width="18.625" style="43" customWidth="1"/>
    <col min="5127" max="5376" width="9" style="43"/>
    <col min="5377" max="5377" width="19.875" style="43" customWidth="1"/>
    <col min="5378" max="5378" width="23.5" style="43" customWidth="1"/>
    <col min="5379" max="5379" width="23.25" style="43" customWidth="1"/>
    <col min="5380" max="5380" width="17.125" style="43" customWidth="1"/>
    <col min="5381" max="5381" width="18.375" style="43" customWidth="1"/>
    <col min="5382" max="5382" width="18.625" style="43" customWidth="1"/>
    <col min="5383" max="5632" width="9" style="43"/>
    <col min="5633" max="5633" width="19.875" style="43" customWidth="1"/>
    <col min="5634" max="5634" width="23.5" style="43" customWidth="1"/>
    <col min="5635" max="5635" width="23.25" style="43" customWidth="1"/>
    <col min="5636" max="5636" width="17.125" style="43" customWidth="1"/>
    <col min="5637" max="5637" width="18.375" style="43" customWidth="1"/>
    <col min="5638" max="5638" width="18.625" style="43" customWidth="1"/>
    <col min="5639" max="5888" width="9" style="43"/>
    <col min="5889" max="5889" width="19.875" style="43" customWidth="1"/>
    <col min="5890" max="5890" width="23.5" style="43" customWidth="1"/>
    <col min="5891" max="5891" width="23.25" style="43" customWidth="1"/>
    <col min="5892" max="5892" width="17.125" style="43" customWidth="1"/>
    <col min="5893" max="5893" width="18.375" style="43" customWidth="1"/>
    <col min="5894" max="5894" width="18.625" style="43" customWidth="1"/>
    <col min="5895" max="6144" width="9" style="43"/>
    <col min="6145" max="6145" width="19.875" style="43" customWidth="1"/>
    <col min="6146" max="6146" width="23.5" style="43" customWidth="1"/>
    <col min="6147" max="6147" width="23.25" style="43" customWidth="1"/>
    <col min="6148" max="6148" width="17.125" style="43" customWidth="1"/>
    <col min="6149" max="6149" width="18.375" style="43" customWidth="1"/>
    <col min="6150" max="6150" width="18.625" style="43" customWidth="1"/>
    <col min="6151" max="6400" width="9" style="43"/>
    <col min="6401" max="6401" width="19.875" style="43" customWidth="1"/>
    <col min="6402" max="6402" width="23.5" style="43" customWidth="1"/>
    <col min="6403" max="6403" width="23.25" style="43" customWidth="1"/>
    <col min="6404" max="6404" width="17.125" style="43" customWidth="1"/>
    <col min="6405" max="6405" width="18.375" style="43" customWidth="1"/>
    <col min="6406" max="6406" width="18.625" style="43" customWidth="1"/>
    <col min="6407" max="6656" width="9" style="43"/>
    <col min="6657" max="6657" width="19.875" style="43" customWidth="1"/>
    <col min="6658" max="6658" width="23.5" style="43" customWidth="1"/>
    <col min="6659" max="6659" width="23.25" style="43" customWidth="1"/>
    <col min="6660" max="6660" width="17.125" style="43" customWidth="1"/>
    <col min="6661" max="6661" width="18.375" style="43" customWidth="1"/>
    <col min="6662" max="6662" width="18.625" style="43" customWidth="1"/>
    <col min="6663" max="6912" width="9" style="43"/>
    <col min="6913" max="6913" width="19.875" style="43" customWidth="1"/>
    <col min="6914" max="6914" width="23.5" style="43" customWidth="1"/>
    <col min="6915" max="6915" width="23.25" style="43" customWidth="1"/>
    <col min="6916" max="6916" width="17.125" style="43" customWidth="1"/>
    <col min="6917" max="6917" width="18.375" style="43" customWidth="1"/>
    <col min="6918" max="6918" width="18.625" style="43" customWidth="1"/>
    <col min="6919" max="7168" width="9" style="43"/>
    <col min="7169" max="7169" width="19.875" style="43" customWidth="1"/>
    <col min="7170" max="7170" width="23.5" style="43" customWidth="1"/>
    <col min="7171" max="7171" width="23.25" style="43" customWidth="1"/>
    <col min="7172" max="7172" width="17.125" style="43" customWidth="1"/>
    <col min="7173" max="7173" width="18.375" style="43" customWidth="1"/>
    <col min="7174" max="7174" width="18.625" style="43" customWidth="1"/>
    <col min="7175" max="7424" width="9" style="43"/>
    <col min="7425" max="7425" width="19.875" style="43" customWidth="1"/>
    <col min="7426" max="7426" width="23.5" style="43" customWidth="1"/>
    <col min="7427" max="7427" width="23.25" style="43" customWidth="1"/>
    <col min="7428" max="7428" width="17.125" style="43" customWidth="1"/>
    <col min="7429" max="7429" width="18.375" style="43" customWidth="1"/>
    <col min="7430" max="7430" width="18.625" style="43" customWidth="1"/>
    <col min="7431" max="7680" width="9" style="43"/>
    <col min="7681" max="7681" width="19.875" style="43" customWidth="1"/>
    <col min="7682" max="7682" width="23.5" style="43" customWidth="1"/>
    <col min="7683" max="7683" width="23.25" style="43" customWidth="1"/>
    <col min="7684" max="7684" width="17.125" style="43" customWidth="1"/>
    <col min="7685" max="7685" width="18.375" style="43" customWidth="1"/>
    <col min="7686" max="7686" width="18.625" style="43" customWidth="1"/>
    <col min="7687" max="7936" width="9" style="43"/>
    <col min="7937" max="7937" width="19.875" style="43" customWidth="1"/>
    <col min="7938" max="7938" width="23.5" style="43" customWidth="1"/>
    <col min="7939" max="7939" width="23.25" style="43" customWidth="1"/>
    <col min="7940" max="7940" width="17.125" style="43" customWidth="1"/>
    <col min="7941" max="7941" width="18.375" style="43" customWidth="1"/>
    <col min="7942" max="7942" width="18.625" style="43" customWidth="1"/>
    <col min="7943" max="8192" width="9" style="43"/>
    <col min="8193" max="8193" width="19.875" style="43" customWidth="1"/>
    <col min="8194" max="8194" width="23.5" style="43" customWidth="1"/>
    <col min="8195" max="8195" width="23.25" style="43" customWidth="1"/>
    <col min="8196" max="8196" width="17.125" style="43" customWidth="1"/>
    <col min="8197" max="8197" width="18.375" style="43" customWidth="1"/>
    <col min="8198" max="8198" width="18.625" style="43" customWidth="1"/>
    <col min="8199" max="8448" width="9" style="43"/>
    <col min="8449" max="8449" width="19.875" style="43" customWidth="1"/>
    <col min="8450" max="8450" width="23.5" style="43" customWidth="1"/>
    <col min="8451" max="8451" width="23.25" style="43" customWidth="1"/>
    <col min="8452" max="8452" width="17.125" style="43" customWidth="1"/>
    <col min="8453" max="8453" width="18.375" style="43" customWidth="1"/>
    <col min="8454" max="8454" width="18.625" style="43" customWidth="1"/>
    <col min="8455" max="8704" width="9" style="43"/>
    <col min="8705" max="8705" width="19.875" style="43" customWidth="1"/>
    <col min="8706" max="8706" width="23.5" style="43" customWidth="1"/>
    <col min="8707" max="8707" width="23.25" style="43" customWidth="1"/>
    <col min="8708" max="8708" width="17.125" style="43" customWidth="1"/>
    <col min="8709" max="8709" width="18.375" style="43" customWidth="1"/>
    <col min="8710" max="8710" width="18.625" style="43" customWidth="1"/>
    <col min="8711" max="8960" width="9" style="43"/>
    <col min="8961" max="8961" width="19.875" style="43" customWidth="1"/>
    <col min="8962" max="8962" width="23.5" style="43" customWidth="1"/>
    <col min="8963" max="8963" width="23.25" style="43" customWidth="1"/>
    <col min="8964" max="8964" width="17.125" style="43" customWidth="1"/>
    <col min="8965" max="8965" width="18.375" style="43" customWidth="1"/>
    <col min="8966" max="8966" width="18.625" style="43" customWidth="1"/>
    <col min="8967" max="9216" width="9" style="43"/>
    <col min="9217" max="9217" width="19.875" style="43" customWidth="1"/>
    <col min="9218" max="9218" width="23.5" style="43" customWidth="1"/>
    <col min="9219" max="9219" width="23.25" style="43" customWidth="1"/>
    <col min="9220" max="9220" width="17.125" style="43" customWidth="1"/>
    <col min="9221" max="9221" width="18.375" style="43" customWidth="1"/>
    <col min="9222" max="9222" width="18.625" style="43" customWidth="1"/>
    <col min="9223" max="9472" width="9" style="43"/>
    <col min="9473" max="9473" width="19.875" style="43" customWidth="1"/>
    <col min="9474" max="9474" width="23.5" style="43" customWidth="1"/>
    <col min="9475" max="9475" width="23.25" style="43" customWidth="1"/>
    <col min="9476" max="9476" width="17.125" style="43" customWidth="1"/>
    <col min="9477" max="9477" width="18.375" style="43" customWidth="1"/>
    <col min="9478" max="9478" width="18.625" style="43" customWidth="1"/>
    <col min="9479" max="9728" width="9" style="43"/>
    <col min="9729" max="9729" width="19.875" style="43" customWidth="1"/>
    <col min="9730" max="9730" width="23.5" style="43" customWidth="1"/>
    <col min="9731" max="9731" width="23.25" style="43" customWidth="1"/>
    <col min="9732" max="9732" width="17.125" style="43" customWidth="1"/>
    <col min="9733" max="9733" width="18.375" style="43" customWidth="1"/>
    <col min="9734" max="9734" width="18.625" style="43" customWidth="1"/>
    <col min="9735" max="9984" width="9" style="43"/>
    <col min="9985" max="9985" width="19.875" style="43" customWidth="1"/>
    <col min="9986" max="9986" width="23.5" style="43" customWidth="1"/>
    <col min="9987" max="9987" width="23.25" style="43" customWidth="1"/>
    <col min="9988" max="9988" width="17.125" style="43" customWidth="1"/>
    <col min="9989" max="9989" width="18.375" style="43" customWidth="1"/>
    <col min="9990" max="9990" width="18.625" style="43" customWidth="1"/>
    <col min="9991" max="10240" width="9" style="43"/>
    <col min="10241" max="10241" width="19.875" style="43" customWidth="1"/>
    <col min="10242" max="10242" width="23.5" style="43" customWidth="1"/>
    <col min="10243" max="10243" width="23.25" style="43" customWidth="1"/>
    <col min="10244" max="10244" width="17.125" style="43" customWidth="1"/>
    <col min="10245" max="10245" width="18.375" style="43" customWidth="1"/>
    <col min="10246" max="10246" width="18.625" style="43" customWidth="1"/>
    <col min="10247" max="10496" width="9" style="43"/>
    <col min="10497" max="10497" width="19.875" style="43" customWidth="1"/>
    <col min="10498" max="10498" width="23.5" style="43" customWidth="1"/>
    <col min="10499" max="10499" width="23.25" style="43" customWidth="1"/>
    <col min="10500" max="10500" width="17.125" style="43" customWidth="1"/>
    <col min="10501" max="10501" width="18.375" style="43" customWidth="1"/>
    <col min="10502" max="10502" width="18.625" style="43" customWidth="1"/>
    <col min="10503" max="10752" width="9" style="43"/>
    <col min="10753" max="10753" width="19.875" style="43" customWidth="1"/>
    <col min="10754" max="10754" width="23.5" style="43" customWidth="1"/>
    <col min="10755" max="10755" width="23.25" style="43" customWidth="1"/>
    <col min="10756" max="10756" width="17.125" style="43" customWidth="1"/>
    <col min="10757" max="10757" width="18.375" style="43" customWidth="1"/>
    <col min="10758" max="10758" width="18.625" style="43" customWidth="1"/>
    <col min="10759" max="11008" width="9" style="43"/>
    <col min="11009" max="11009" width="19.875" style="43" customWidth="1"/>
    <col min="11010" max="11010" width="23.5" style="43" customWidth="1"/>
    <col min="11011" max="11011" width="23.25" style="43" customWidth="1"/>
    <col min="11012" max="11012" width="17.125" style="43" customWidth="1"/>
    <col min="11013" max="11013" width="18.375" style="43" customWidth="1"/>
    <col min="11014" max="11014" width="18.625" style="43" customWidth="1"/>
    <col min="11015" max="11264" width="9" style="43"/>
    <col min="11265" max="11265" width="19.875" style="43" customWidth="1"/>
    <col min="11266" max="11266" width="23.5" style="43" customWidth="1"/>
    <col min="11267" max="11267" width="23.25" style="43" customWidth="1"/>
    <col min="11268" max="11268" width="17.125" style="43" customWidth="1"/>
    <col min="11269" max="11269" width="18.375" style="43" customWidth="1"/>
    <col min="11270" max="11270" width="18.625" style="43" customWidth="1"/>
    <col min="11271" max="11520" width="9" style="43"/>
    <col min="11521" max="11521" width="19.875" style="43" customWidth="1"/>
    <col min="11522" max="11522" width="23.5" style="43" customWidth="1"/>
    <col min="11523" max="11523" width="23.25" style="43" customWidth="1"/>
    <col min="11524" max="11524" width="17.125" style="43" customWidth="1"/>
    <col min="11525" max="11525" width="18.375" style="43" customWidth="1"/>
    <col min="11526" max="11526" width="18.625" style="43" customWidth="1"/>
    <col min="11527" max="11776" width="9" style="43"/>
    <col min="11777" max="11777" width="19.875" style="43" customWidth="1"/>
    <col min="11778" max="11778" width="23.5" style="43" customWidth="1"/>
    <col min="11779" max="11779" width="23.25" style="43" customWidth="1"/>
    <col min="11780" max="11780" width="17.125" style="43" customWidth="1"/>
    <col min="11781" max="11781" width="18.375" style="43" customWidth="1"/>
    <col min="11782" max="11782" width="18.625" style="43" customWidth="1"/>
    <col min="11783" max="12032" width="9" style="43"/>
    <col min="12033" max="12033" width="19.875" style="43" customWidth="1"/>
    <col min="12034" max="12034" width="23.5" style="43" customWidth="1"/>
    <col min="12035" max="12035" width="23.25" style="43" customWidth="1"/>
    <col min="12036" max="12036" width="17.125" style="43" customWidth="1"/>
    <col min="12037" max="12037" width="18.375" style="43" customWidth="1"/>
    <col min="12038" max="12038" width="18.625" style="43" customWidth="1"/>
    <col min="12039" max="12288" width="9" style="43"/>
    <col min="12289" max="12289" width="19.875" style="43" customWidth="1"/>
    <col min="12290" max="12290" width="23.5" style="43" customWidth="1"/>
    <col min="12291" max="12291" width="23.25" style="43" customWidth="1"/>
    <col min="12292" max="12292" width="17.125" style="43" customWidth="1"/>
    <col min="12293" max="12293" width="18.375" style="43" customWidth="1"/>
    <col min="12294" max="12294" width="18.625" style="43" customWidth="1"/>
    <col min="12295" max="12544" width="9" style="43"/>
    <col min="12545" max="12545" width="19.875" style="43" customWidth="1"/>
    <col min="12546" max="12546" width="23.5" style="43" customWidth="1"/>
    <col min="12547" max="12547" width="23.25" style="43" customWidth="1"/>
    <col min="12548" max="12548" width="17.125" style="43" customWidth="1"/>
    <col min="12549" max="12549" width="18.375" style="43" customWidth="1"/>
    <col min="12550" max="12550" width="18.625" style="43" customWidth="1"/>
    <col min="12551" max="12800" width="9" style="43"/>
    <col min="12801" max="12801" width="19.875" style="43" customWidth="1"/>
    <col min="12802" max="12802" width="23.5" style="43" customWidth="1"/>
    <col min="12803" max="12803" width="23.25" style="43" customWidth="1"/>
    <col min="12804" max="12804" width="17.125" style="43" customWidth="1"/>
    <col min="12805" max="12805" width="18.375" style="43" customWidth="1"/>
    <col min="12806" max="12806" width="18.625" style="43" customWidth="1"/>
    <col min="12807" max="13056" width="9" style="43"/>
    <col min="13057" max="13057" width="19.875" style="43" customWidth="1"/>
    <col min="13058" max="13058" width="23.5" style="43" customWidth="1"/>
    <col min="13059" max="13059" width="23.25" style="43" customWidth="1"/>
    <col min="13060" max="13060" width="17.125" style="43" customWidth="1"/>
    <col min="13061" max="13061" width="18.375" style="43" customWidth="1"/>
    <col min="13062" max="13062" width="18.625" style="43" customWidth="1"/>
    <col min="13063" max="13312" width="9" style="43"/>
    <col min="13313" max="13313" width="19.875" style="43" customWidth="1"/>
    <col min="13314" max="13314" width="23.5" style="43" customWidth="1"/>
    <col min="13315" max="13315" width="23.25" style="43" customWidth="1"/>
    <col min="13316" max="13316" width="17.125" style="43" customWidth="1"/>
    <col min="13317" max="13317" width="18.375" style="43" customWidth="1"/>
    <col min="13318" max="13318" width="18.625" style="43" customWidth="1"/>
    <col min="13319" max="13568" width="9" style="43"/>
    <col min="13569" max="13569" width="19.875" style="43" customWidth="1"/>
    <col min="13570" max="13570" width="23.5" style="43" customWidth="1"/>
    <col min="13571" max="13571" width="23.25" style="43" customWidth="1"/>
    <col min="13572" max="13572" width="17.125" style="43" customWidth="1"/>
    <col min="13573" max="13573" width="18.375" style="43" customWidth="1"/>
    <col min="13574" max="13574" width="18.625" style="43" customWidth="1"/>
    <col min="13575" max="13824" width="9" style="43"/>
    <col min="13825" max="13825" width="19.875" style="43" customWidth="1"/>
    <col min="13826" max="13826" width="23.5" style="43" customWidth="1"/>
    <col min="13827" max="13827" width="23.25" style="43" customWidth="1"/>
    <col min="13828" max="13828" width="17.125" style="43" customWidth="1"/>
    <col min="13829" max="13829" width="18.375" style="43" customWidth="1"/>
    <col min="13830" max="13830" width="18.625" style="43" customWidth="1"/>
    <col min="13831" max="14080" width="9" style="43"/>
    <col min="14081" max="14081" width="19.875" style="43" customWidth="1"/>
    <col min="14082" max="14082" width="23.5" style="43" customWidth="1"/>
    <col min="14083" max="14083" width="23.25" style="43" customWidth="1"/>
    <col min="14084" max="14084" width="17.125" style="43" customWidth="1"/>
    <col min="14085" max="14085" width="18.375" style="43" customWidth="1"/>
    <col min="14086" max="14086" width="18.625" style="43" customWidth="1"/>
    <col min="14087" max="14336" width="9" style="43"/>
    <col min="14337" max="14337" width="19.875" style="43" customWidth="1"/>
    <col min="14338" max="14338" width="23.5" style="43" customWidth="1"/>
    <col min="14339" max="14339" width="23.25" style="43" customWidth="1"/>
    <col min="14340" max="14340" width="17.125" style="43" customWidth="1"/>
    <col min="14341" max="14341" width="18.375" style="43" customWidth="1"/>
    <col min="14342" max="14342" width="18.625" style="43" customWidth="1"/>
    <col min="14343" max="14592" width="9" style="43"/>
    <col min="14593" max="14593" width="19.875" style="43" customWidth="1"/>
    <col min="14594" max="14594" width="23.5" style="43" customWidth="1"/>
    <col min="14595" max="14595" width="23.25" style="43" customWidth="1"/>
    <col min="14596" max="14596" width="17.125" style="43" customWidth="1"/>
    <col min="14597" max="14597" width="18.375" style="43" customWidth="1"/>
    <col min="14598" max="14598" width="18.625" style="43" customWidth="1"/>
    <col min="14599" max="14848" width="9" style="43"/>
    <col min="14849" max="14849" width="19.875" style="43" customWidth="1"/>
    <col min="14850" max="14850" width="23.5" style="43" customWidth="1"/>
    <col min="14851" max="14851" width="23.25" style="43" customWidth="1"/>
    <col min="14852" max="14852" width="17.125" style="43" customWidth="1"/>
    <col min="14853" max="14853" width="18.375" style="43" customWidth="1"/>
    <col min="14854" max="14854" width="18.625" style="43" customWidth="1"/>
    <col min="14855" max="15104" width="9" style="43"/>
    <col min="15105" max="15105" width="19.875" style="43" customWidth="1"/>
    <col min="15106" max="15106" width="23.5" style="43" customWidth="1"/>
    <col min="15107" max="15107" width="23.25" style="43" customWidth="1"/>
    <col min="15108" max="15108" width="17.125" style="43" customWidth="1"/>
    <col min="15109" max="15109" width="18.375" style="43" customWidth="1"/>
    <col min="15110" max="15110" width="18.625" style="43" customWidth="1"/>
    <col min="15111" max="15360" width="9" style="43"/>
    <col min="15361" max="15361" width="19.875" style="43" customWidth="1"/>
    <col min="15362" max="15362" width="23.5" style="43" customWidth="1"/>
    <col min="15363" max="15363" width="23.25" style="43" customWidth="1"/>
    <col min="15364" max="15364" width="17.125" style="43" customWidth="1"/>
    <col min="15365" max="15365" width="18.375" style="43" customWidth="1"/>
    <col min="15366" max="15366" width="18.625" style="43" customWidth="1"/>
    <col min="15367" max="15616" width="9" style="43"/>
    <col min="15617" max="15617" width="19.875" style="43" customWidth="1"/>
    <col min="15618" max="15618" width="23.5" style="43" customWidth="1"/>
    <col min="15619" max="15619" width="23.25" style="43" customWidth="1"/>
    <col min="15620" max="15620" width="17.125" style="43" customWidth="1"/>
    <col min="15621" max="15621" width="18.375" style="43" customWidth="1"/>
    <col min="15622" max="15622" width="18.625" style="43" customWidth="1"/>
    <col min="15623" max="15872" width="9" style="43"/>
    <col min="15873" max="15873" width="19.875" style="43" customWidth="1"/>
    <col min="15874" max="15874" width="23.5" style="43" customWidth="1"/>
    <col min="15875" max="15875" width="23.25" style="43" customWidth="1"/>
    <col min="15876" max="15876" width="17.125" style="43" customWidth="1"/>
    <col min="15877" max="15877" width="18.375" style="43" customWidth="1"/>
    <col min="15878" max="15878" width="18.625" style="43" customWidth="1"/>
    <col min="15879" max="16128" width="9" style="43"/>
    <col min="16129" max="16129" width="19.875" style="43" customWidth="1"/>
    <col min="16130" max="16130" width="23.5" style="43" customWidth="1"/>
    <col min="16131" max="16131" width="23.25" style="43" customWidth="1"/>
    <col min="16132" max="16132" width="17.125" style="43" customWidth="1"/>
    <col min="16133" max="16133" width="18.375" style="43" customWidth="1"/>
    <col min="16134" max="16134" width="18.625" style="43" customWidth="1"/>
    <col min="16135" max="16384" width="9" style="43"/>
  </cols>
  <sheetData>
    <row r="1" spans="1:6">
      <c r="A1" s="771" t="s">
        <v>264</v>
      </c>
      <c r="B1" s="772"/>
      <c r="C1" s="772"/>
      <c r="D1" s="772"/>
      <c r="E1" s="772"/>
      <c r="F1" s="772"/>
    </row>
    <row r="2" spans="1:6">
      <c r="A2" s="771" t="s">
        <v>265</v>
      </c>
      <c r="B2" s="772"/>
      <c r="C2" s="772"/>
      <c r="D2" s="772"/>
      <c r="E2" s="772"/>
      <c r="F2" s="772"/>
    </row>
    <row r="3" spans="1:6">
      <c r="A3" s="771" t="s">
        <v>1013</v>
      </c>
      <c r="B3" s="772"/>
      <c r="C3" s="772"/>
      <c r="D3" s="772"/>
      <c r="E3" s="772"/>
      <c r="F3" s="772"/>
    </row>
    <row r="4" spans="1:6">
      <c r="A4" s="46"/>
      <c r="B4" s="46"/>
      <c r="C4" s="46"/>
      <c r="D4" s="49"/>
      <c r="E4" s="49"/>
      <c r="F4" s="49"/>
    </row>
    <row r="5" spans="1:6">
      <c r="A5" s="773" t="s">
        <v>65</v>
      </c>
      <c r="B5" s="775" t="s">
        <v>50</v>
      </c>
      <c r="C5" s="775" t="s">
        <v>39</v>
      </c>
      <c r="D5" s="777" t="s">
        <v>66</v>
      </c>
      <c r="E5" s="777" t="s">
        <v>67</v>
      </c>
      <c r="F5" s="777" t="s">
        <v>35</v>
      </c>
    </row>
    <row r="6" spans="1:6">
      <c r="A6" s="774"/>
      <c r="B6" s="776"/>
      <c r="C6" s="776"/>
      <c r="D6" s="778"/>
      <c r="E6" s="778"/>
      <c r="F6" s="778"/>
    </row>
    <row r="7" spans="1:6">
      <c r="A7" s="50" t="s">
        <v>96</v>
      </c>
      <c r="B7" s="50"/>
      <c r="C7" s="50"/>
      <c r="D7" s="51"/>
      <c r="E7" s="51"/>
      <c r="F7" s="51"/>
    </row>
    <row r="8" spans="1:6">
      <c r="A8" s="52" t="s">
        <v>67</v>
      </c>
      <c r="B8" s="53" t="s">
        <v>266</v>
      </c>
      <c r="C8" s="53" t="s">
        <v>197</v>
      </c>
      <c r="D8" s="54">
        <f>'Sheet3 (โอน)'!D15</f>
        <v>15110400</v>
      </c>
      <c r="E8" s="54">
        <f>'Sheet3 (โอน)'!E15</f>
        <v>14842876.449999999</v>
      </c>
      <c r="F8" s="51">
        <f>SUM(E8:E8)</f>
        <v>14842876.449999999</v>
      </c>
    </row>
    <row r="9" spans="1:6">
      <c r="A9" s="52"/>
      <c r="B9" s="53"/>
      <c r="C9" s="53"/>
      <c r="D9" s="51">
        <v>0</v>
      </c>
      <c r="E9" s="54"/>
      <c r="F9" s="51">
        <f>SUM(E9:E9)</f>
        <v>0</v>
      </c>
    </row>
    <row r="10" spans="1:6">
      <c r="A10" s="52"/>
      <c r="B10" s="53"/>
      <c r="C10" s="53"/>
      <c r="D10" s="51"/>
      <c r="E10" s="51"/>
      <c r="F10" s="51"/>
    </row>
    <row r="11" spans="1:6">
      <c r="A11" s="52"/>
      <c r="B11" s="53"/>
      <c r="C11" s="53"/>
      <c r="D11" s="51"/>
      <c r="E11" s="51"/>
      <c r="F11" s="51"/>
    </row>
    <row r="12" spans="1:6">
      <c r="A12" s="52"/>
      <c r="B12" s="53"/>
      <c r="C12" s="53"/>
      <c r="D12" s="51"/>
      <c r="E12" s="51"/>
      <c r="F12" s="51"/>
    </row>
    <row r="13" spans="1:6">
      <c r="A13" s="52"/>
      <c r="B13" s="53"/>
      <c r="C13" s="53"/>
      <c r="D13" s="51"/>
      <c r="E13" s="51"/>
      <c r="F13" s="51"/>
    </row>
    <row r="14" spans="1:6">
      <c r="A14" s="52"/>
      <c r="B14" s="53"/>
      <c r="C14" s="53"/>
      <c r="D14" s="51"/>
      <c r="E14" s="51"/>
      <c r="F14" s="51"/>
    </row>
    <row r="15" spans="1:6">
      <c r="A15" s="52"/>
      <c r="B15" s="53"/>
      <c r="C15" s="53"/>
      <c r="D15" s="51"/>
      <c r="E15" s="51"/>
      <c r="F15" s="51"/>
    </row>
    <row r="16" spans="1:6">
      <c r="A16" s="52"/>
      <c r="B16" s="53"/>
      <c r="C16" s="53"/>
      <c r="D16" s="51"/>
      <c r="E16" s="51"/>
      <c r="F16" s="51"/>
    </row>
    <row r="17" spans="1:9">
      <c r="A17" s="52"/>
      <c r="B17" s="53"/>
      <c r="C17" s="53"/>
      <c r="D17" s="51"/>
      <c r="E17" s="51"/>
      <c r="F17" s="51"/>
    </row>
    <row r="18" spans="1:9">
      <c r="A18" s="52"/>
      <c r="B18" s="53"/>
      <c r="C18" s="53"/>
      <c r="D18" s="51"/>
      <c r="E18" s="51"/>
      <c r="F18" s="51"/>
    </row>
    <row r="19" spans="1:9">
      <c r="A19" s="768" t="s">
        <v>35</v>
      </c>
      <c r="B19" s="769"/>
      <c r="C19" s="770"/>
      <c r="D19" s="55">
        <f>SUM(D8:D18)</f>
        <v>15110400</v>
      </c>
      <c r="E19" s="55">
        <f>SUM(E8:E18)</f>
        <v>14842876.449999999</v>
      </c>
      <c r="F19" s="55">
        <f>SUM(F8:F18)</f>
        <v>14842876.449999999</v>
      </c>
    </row>
    <row r="21" spans="1:9" s="293" customFormat="1" ht="21">
      <c r="A21" s="293" t="s">
        <v>64</v>
      </c>
      <c r="D21" s="321"/>
      <c r="E21" s="321"/>
      <c r="F21" s="321"/>
      <c r="G21" s="321"/>
      <c r="H21" s="321"/>
      <c r="I21" s="321"/>
    </row>
    <row r="23" spans="1:9">
      <c r="D23" s="56">
        <f>บริหารงานทั่วไป!D18+รักษาความสงบฯ!D18+การศึกษา!D19+สาธารณสุข!D18+สังคมสงเคราะห์!D18+เคหะและชุมชน!D18+สร้างความเข้มแข็งของชุมชน!D18+การศาสนาฯ!D18+การเกษตร!D18+งบกลาง!D19</f>
        <v>43267600</v>
      </c>
      <c r="E23" s="56">
        <f>บริหารงานทั่วไป!H18+รักษาความสงบฯ!H18+การศึกษา!H19+สาธารณสุข!H18+สังคมสงเคราะห์!G18+เคหะและชุมชน!I18+สร้างความเข้มแข็งของชุมชน!G18+การศาสนาฯ!G18+การเกษตร!G18+งบกลาง!F19</f>
        <v>38305277.769999996</v>
      </c>
    </row>
  </sheetData>
  <mergeCells count="10">
    <mergeCell ref="A19:C19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64" right="0.28999999999999998" top="0.37" bottom="0.41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31"/>
  <sheetViews>
    <sheetView workbookViewId="0">
      <selection activeCell="R17" sqref="R17"/>
    </sheetView>
  </sheetViews>
  <sheetFormatPr defaultRowHeight="20.25"/>
  <cols>
    <col min="1" max="1" width="10" style="459" customWidth="1"/>
    <col min="2" max="2" width="16.25" style="459" customWidth="1"/>
    <col min="3" max="3" width="9.375" style="459" customWidth="1"/>
    <col min="4" max="5" width="12.5" style="459" customWidth="1"/>
    <col min="6" max="6" width="9.375" style="459" customWidth="1"/>
    <col min="7" max="7" width="11.5" style="459" customWidth="1"/>
    <col min="8" max="8" width="10.875" style="459" bestFit="1" customWidth="1"/>
    <col min="9" max="9" width="10.75" style="459" customWidth="1"/>
    <col min="10" max="10" width="12.25" style="459" bestFit="1" customWidth="1"/>
    <col min="11" max="11" width="11" style="459" customWidth="1"/>
    <col min="12" max="12" width="10.75" style="459" customWidth="1"/>
    <col min="13" max="13" width="11" style="459" customWidth="1"/>
    <col min="14" max="14" width="12" style="459" customWidth="1"/>
    <col min="15" max="15" width="12.875" style="459" customWidth="1"/>
    <col min="16" max="16" width="12.125" style="459" bestFit="1" customWidth="1"/>
    <col min="17" max="17" width="9" style="459"/>
    <col min="18" max="18" width="11.875" style="459" bestFit="1" customWidth="1"/>
    <col min="19" max="256" width="9" style="459"/>
    <col min="257" max="257" width="6.125" style="459" customWidth="1"/>
    <col min="258" max="258" width="12" style="459" customWidth="1"/>
    <col min="259" max="259" width="13.5" style="459" customWidth="1"/>
    <col min="260" max="260" width="9.25" style="459" customWidth="1"/>
    <col min="261" max="261" width="9.125" style="459" customWidth="1"/>
    <col min="262" max="262" width="8.125" style="459" customWidth="1"/>
    <col min="263" max="263" width="7.375" style="459" customWidth="1"/>
    <col min="264" max="264" width="8.5" style="459" customWidth="1"/>
    <col min="265" max="265" width="8.625" style="459" customWidth="1"/>
    <col min="266" max="266" width="8.75" style="459" customWidth="1"/>
    <col min="267" max="267" width="8" style="459" customWidth="1"/>
    <col min="268" max="268" width="8.375" style="459" customWidth="1"/>
    <col min="269" max="269" width="8.25" style="459" customWidth="1"/>
    <col min="270" max="271" width="9.375" style="459" customWidth="1"/>
    <col min="272" max="272" width="12.125" style="459" bestFit="1" customWidth="1"/>
    <col min="273" max="273" width="9" style="459"/>
    <col min="274" max="274" width="11.875" style="459" bestFit="1" customWidth="1"/>
    <col min="275" max="512" width="9" style="459"/>
    <col min="513" max="513" width="6.125" style="459" customWidth="1"/>
    <col min="514" max="514" width="12" style="459" customWidth="1"/>
    <col min="515" max="515" width="13.5" style="459" customWidth="1"/>
    <col min="516" max="516" width="9.25" style="459" customWidth="1"/>
    <col min="517" max="517" width="9.125" style="459" customWidth="1"/>
    <col min="518" max="518" width="8.125" style="459" customWidth="1"/>
    <col min="519" max="519" width="7.375" style="459" customWidth="1"/>
    <col min="520" max="520" width="8.5" style="459" customWidth="1"/>
    <col min="521" max="521" width="8.625" style="459" customWidth="1"/>
    <col min="522" max="522" width="8.75" style="459" customWidth="1"/>
    <col min="523" max="523" width="8" style="459" customWidth="1"/>
    <col min="524" max="524" width="8.375" style="459" customWidth="1"/>
    <col min="525" max="525" width="8.25" style="459" customWidth="1"/>
    <col min="526" max="527" width="9.375" style="459" customWidth="1"/>
    <col min="528" max="528" width="12.125" style="459" bestFit="1" customWidth="1"/>
    <col min="529" max="529" width="9" style="459"/>
    <col min="530" max="530" width="11.875" style="459" bestFit="1" customWidth="1"/>
    <col min="531" max="768" width="9" style="459"/>
    <col min="769" max="769" width="6.125" style="459" customWidth="1"/>
    <col min="770" max="770" width="12" style="459" customWidth="1"/>
    <col min="771" max="771" width="13.5" style="459" customWidth="1"/>
    <col min="772" max="772" width="9.25" style="459" customWidth="1"/>
    <col min="773" max="773" width="9.125" style="459" customWidth="1"/>
    <col min="774" max="774" width="8.125" style="459" customWidth="1"/>
    <col min="775" max="775" width="7.375" style="459" customWidth="1"/>
    <col min="776" max="776" width="8.5" style="459" customWidth="1"/>
    <col min="777" max="777" width="8.625" style="459" customWidth="1"/>
    <col min="778" max="778" width="8.75" style="459" customWidth="1"/>
    <col min="779" max="779" width="8" style="459" customWidth="1"/>
    <col min="780" max="780" width="8.375" style="459" customWidth="1"/>
    <col min="781" max="781" width="8.25" style="459" customWidth="1"/>
    <col min="782" max="783" width="9.375" style="459" customWidth="1"/>
    <col min="784" max="784" width="12.125" style="459" bestFit="1" customWidth="1"/>
    <col min="785" max="785" width="9" style="459"/>
    <col min="786" max="786" width="11.875" style="459" bestFit="1" customWidth="1"/>
    <col min="787" max="1024" width="9" style="459"/>
    <col min="1025" max="1025" width="6.125" style="459" customWidth="1"/>
    <col min="1026" max="1026" width="12" style="459" customWidth="1"/>
    <col min="1027" max="1027" width="13.5" style="459" customWidth="1"/>
    <col min="1028" max="1028" width="9.25" style="459" customWidth="1"/>
    <col min="1029" max="1029" width="9.125" style="459" customWidth="1"/>
    <col min="1030" max="1030" width="8.125" style="459" customWidth="1"/>
    <col min="1031" max="1031" width="7.375" style="459" customWidth="1"/>
    <col min="1032" max="1032" width="8.5" style="459" customWidth="1"/>
    <col min="1033" max="1033" width="8.625" style="459" customWidth="1"/>
    <col min="1034" max="1034" width="8.75" style="459" customWidth="1"/>
    <col min="1035" max="1035" width="8" style="459" customWidth="1"/>
    <col min="1036" max="1036" width="8.375" style="459" customWidth="1"/>
    <col min="1037" max="1037" width="8.25" style="459" customWidth="1"/>
    <col min="1038" max="1039" width="9.375" style="459" customWidth="1"/>
    <col min="1040" max="1040" width="12.125" style="459" bestFit="1" customWidth="1"/>
    <col min="1041" max="1041" width="9" style="459"/>
    <col min="1042" max="1042" width="11.875" style="459" bestFit="1" customWidth="1"/>
    <col min="1043" max="1280" width="9" style="459"/>
    <col min="1281" max="1281" width="6.125" style="459" customWidth="1"/>
    <col min="1282" max="1282" width="12" style="459" customWidth="1"/>
    <col min="1283" max="1283" width="13.5" style="459" customWidth="1"/>
    <col min="1284" max="1284" width="9.25" style="459" customWidth="1"/>
    <col min="1285" max="1285" width="9.125" style="459" customWidth="1"/>
    <col min="1286" max="1286" width="8.125" style="459" customWidth="1"/>
    <col min="1287" max="1287" width="7.375" style="459" customWidth="1"/>
    <col min="1288" max="1288" width="8.5" style="459" customWidth="1"/>
    <col min="1289" max="1289" width="8.625" style="459" customWidth="1"/>
    <col min="1290" max="1290" width="8.75" style="459" customWidth="1"/>
    <col min="1291" max="1291" width="8" style="459" customWidth="1"/>
    <col min="1292" max="1292" width="8.375" style="459" customWidth="1"/>
    <col min="1293" max="1293" width="8.25" style="459" customWidth="1"/>
    <col min="1294" max="1295" width="9.375" style="459" customWidth="1"/>
    <col min="1296" max="1296" width="12.125" style="459" bestFit="1" customWidth="1"/>
    <col min="1297" max="1297" width="9" style="459"/>
    <col min="1298" max="1298" width="11.875" style="459" bestFit="1" customWidth="1"/>
    <col min="1299" max="1536" width="9" style="459"/>
    <col min="1537" max="1537" width="6.125" style="459" customWidth="1"/>
    <col min="1538" max="1538" width="12" style="459" customWidth="1"/>
    <col min="1539" max="1539" width="13.5" style="459" customWidth="1"/>
    <col min="1540" max="1540" width="9.25" style="459" customWidth="1"/>
    <col min="1541" max="1541" width="9.125" style="459" customWidth="1"/>
    <col min="1542" max="1542" width="8.125" style="459" customWidth="1"/>
    <col min="1543" max="1543" width="7.375" style="459" customWidth="1"/>
    <col min="1544" max="1544" width="8.5" style="459" customWidth="1"/>
    <col min="1545" max="1545" width="8.625" style="459" customWidth="1"/>
    <col min="1546" max="1546" width="8.75" style="459" customWidth="1"/>
    <col min="1547" max="1547" width="8" style="459" customWidth="1"/>
    <col min="1548" max="1548" width="8.375" style="459" customWidth="1"/>
    <col min="1549" max="1549" width="8.25" style="459" customWidth="1"/>
    <col min="1550" max="1551" width="9.375" style="459" customWidth="1"/>
    <col min="1552" max="1552" width="12.125" style="459" bestFit="1" customWidth="1"/>
    <col min="1553" max="1553" width="9" style="459"/>
    <col min="1554" max="1554" width="11.875" style="459" bestFit="1" customWidth="1"/>
    <col min="1555" max="1792" width="9" style="459"/>
    <col min="1793" max="1793" width="6.125" style="459" customWidth="1"/>
    <col min="1794" max="1794" width="12" style="459" customWidth="1"/>
    <col min="1795" max="1795" width="13.5" style="459" customWidth="1"/>
    <col min="1796" max="1796" width="9.25" style="459" customWidth="1"/>
    <col min="1797" max="1797" width="9.125" style="459" customWidth="1"/>
    <col min="1798" max="1798" width="8.125" style="459" customWidth="1"/>
    <col min="1799" max="1799" width="7.375" style="459" customWidth="1"/>
    <col min="1800" max="1800" width="8.5" style="459" customWidth="1"/>
    <col min="1801" max="1801" width="8.625" style="459" customWidth="1"/>
    <col min="1802" max="1802" width="8.75" style="459" customWidth="1"/>
    <col min="1803" max="1803" width="8" style="459" customWidth="1"/>
    <col min="1804" max="1804" width="8.375" style="459" customWidth="1"/>
    <col min="1805" max="1805" width="8.25" style="459" customWidth="1"/>
    <col min="1806" max="1807" width="9.375" style="459" customWidth="1"/>
    <col min="1808" max="1808" width="12.125" style="459" bestFit="1" customWidth="1"/>
    <col min="1809" max="1809" width="9" style="459"/>
    <col min="1810" max="1810" width="11.875" style="459" bestFit="1" customWidth="1"/>
    <col min="1811" max="2048" width="9" style="459"/>
    <col min="2049" max="2049" width="6.125" style="459" customWidth="1"/>
    <col min="2050" max="2050" width="12" style="459" customWidth="1"/>
    <col min="2051" max="2051" width="13.5" style="459" customWidth="1"/>
    <col min="2052" max="2052" width="9.25" style="459" customWidth="1"/>
    <col min="2053" max="2053" width="9.125" style="459" customWidth="1"/>
    <col min="2054" max="2054" width="8.125" style="459" customWidth="1"/>
    <col min="2055" max="2055" width="7.375" style="459" customWidth="1"/>
    <col min="2056" max="2056" width="8.5" style="459" customWidth="1"/>
    <col min="2057" max="2057" width="8.625" style="459" customWidth="1"/>
    <col min="2058" max="2058" width="8.75" style="459" customWidth="1"/>
    <col min="2059" max="2059" width="8" style="459" customWidth="1"/>
    <col min="2060" max="2060" width="8.375" style="459" customWidth="1"/>
    <col min="2061" max="2061" width="8.25" style="459" customWidth="1"/>
    <col min="2062" max="2063" width="9.375" style="459" customWidth="1"/>
    <col min="2064" max="2064" width="12.125" style="459" bestFit="1" customWidth="1"/>
    <col min="2065" max="2065" width="9" style="459"/>
    <col min="2066" max="2066" width="11.875" style="459" bestFit="1" customWidth="1"/>
    <col min="2067" max="2304" width="9" style="459"/>
    <col min="2305" max="2305" width="6.125" style="459" customWidth="1"/>
    <col min="2306" max="2306" width="12" style="459" customWidth="1"/>
    <col min="2307" max="2307" width="13.5" style="459" customWidth="1"/>
    <col min="2308" max="2308" width="9.25" style="459" customWidth="1"/>
    <col min="2309" max="2309" width="9.125" style="459" customWidth="1"/>
    <col min="2310" max="2310" width="8.125" style="459" customWidth="1"/>
    <col min="2311" max="2311" width="7.375" style="459" customWidth="1"/>
    <col min="2312" max="2312" width="8.5" style="459" customWidth="1"/>
    <col min="2313" max="2313" width="8.625" style="459" customWidth="1"/>
    <col min="2314" max="2314" width="8.75" style="459" customWidth="1"/>
    <col min="2315" max="2315" width="8" style="459" customWidth="1"/>
    <col min="2316" max="2316" width="8.375" style="459" customWidth="1"/>
    <col min="2317" max="2317" width="8.25" style="459" customWidth="1"/>
    <col min="2318" max="2319" width="9.375" style="459" customWidth="1"/>
    <col min="2320" max="2320" width="12.125" style="459" bestFit="1" customWidth="1"/>
    <col min="2321" max="2321" width="9" style="459"/>
    <col min="2322" max="2322" width="11.875" style="459" bestFit="1" customWidth="1"/>
    <col min="2323" max="2560" width="9" style="459"/>
    <col min="2561" max="2561" width="6.125" style="459" customWidth="1"/>
    <col min="2562" max="2562" width="12" style="459" customWidth="1"/>
    <col min="2563" max="2563" width="13.5" style="459" customWidth="1"/>
    <col min="2564" max="2564" width="9.25" style="459" customWidth="1"/>
    <col min="2565" max="2565" width="9.125" style="459" customWidth="1"/>
    <col min="2566" max="2566" width="8.125" style="459" customWidth="1"/>
    <col min="2567" max="2567" width="7.375" style="459" customWidth="1"/>
    <col min="2568" max="2568" width="8.5" style="459" customWidth="1"/>
    <col min="2569" max="2569" width="8.625" style="459" customWidth="1"/>
    <col min="2570" max="2570" width="8.75" style="459" customWidth="1"/>
    <col min="2571" max="2571" width="8" style="459" customWidth="1"/>
    <col min="2572" max="2572" width="8.375" style="459" customWidth="1"/>
    <col min="2573" max="2573" width="8.25" style="459" customWidth="1"/>
    <col min="2574" max="2575" width="9.375" style="459" customWidth="1"/>
    <col min="2576" max="2576" width="12.125" style="459" bestFit="1" customWidth="1"/>
    <col min="2577" max="2577" width="9" style="459"/>
    <col min="2578" max="2578" width="11.875" style="459" bestFit="1" customWidth="1"/>
    <col min="2579" max="2816" width="9" style="459"/>
    <col min="2817" max="2817" width="6.125" style="459" customWidth="1"/>
    <col min="2818" max="2818" width="12" style="459" customWidth="1"/>
    <col min="2819" max="2819" width="13.5" style="459" customWidth="1"/>
    <col min="2820" max="2820" width="9.25" style="459" customWidth="1"/>
    <col min="2821" max="2821" width="9.125" style="459" customWidth="1"/>
    <col min="2822" max="2822" width="8.125" style="459" customWidth="1"/>
    <col min="2823" max="2823" width="7.375" style="459" customWidth="1"/>
    <col min="2824" max="2824" width="8.5" style="459" customWidth="1"/>
    <col min="2825" max="2825" width="8.625" style="459" customWidth="1"/>
    <col min="2826" max="2826" width="8.75" style="459" customWidth="1"/>
    <col min="2827" max="2827" width="8" style="459" customWidth="1"/>
    <col min="2828" max="2828" width="8.375" style="459" customWidth="1"/>
    <col min="2829" max="2829" width="8.25" style="459" customWidth="1"/>
    <col min="2830" max="2831" width="9.375" style="459" customWidth="1"/>
    <col min="2832" max="2832" width="12.125" style="459" bestFit="1" customWidth="1"/>
    <col min="2833" max="2833" width="9" style="459"/>
    <col min="2834" max="2834" width="11.875" style="459" bestFit="1" customWidth="1"/>
    <col min="2835" max="3072" width="9" style="459"/>
    <col min="3073" max="3073" width="6.125" style="459" customWidth="1"/>
    <col min="3074" max="3074" width="12" style="459" customWidth="1"/>
    <col min="3075" max="3075" width="13.5" style="459" customWidth="1"/>
    <col min="3076" max="3076" width="9.25" style="459" customWidth="1"/>
    <col min="3077" max="3077" width="9.125" style="459" customWidth="1"/>
    <col min="3078" max="3078" width="8.125" style="459" customWidth="1"/>
    <col min="3079" max="3079" width="7.375" style="459" customWidth="1"/>
    <col min="3080" max="3080" width="8.5" style="459" customWidth="1"/>
    <col min="3081" max="3081" width="8.625" style="459" customWidth="1"/>
    <col min="3082" max="3082" width="8.75" style="459" customWidth="1"/>
    <col min="3083" max="3083" width="8" style="459" customWidth="1"/>
    <col min="3084" max="3084" width="8.375" style="459" customWidth="1"/>
    <col min="3085" max="3085" width="8.25" style="459" customWidth="1"/>
    <col min="3086" max="3087" width="9.375" style="459" customWidth="1"/>
    <col min="3088" max="3088" width="12.125" style="459" bestFit="1" customWidth="1"/>
    <col min="3089" max="3089" width="9" style="459"/>
    <col min="3090" max="3090" width="11.875" style="459" bestFit="1" customWidth="1"/>
    <col min="3091" max="3328" width="9" style="459"/>
    <col min="3329" max="3329" width="6.125" style="459" customWidth="1"/>
    <col min="3330" max="3330" width="12" style="459" customWidth="1"/>
    <col min="3331" max="3331" width="13.5" style="459" customWidth="1"/>
    <col min="3332" max="3332" width="9.25" style="459" customWidth="1"/>
    <col min="3333" max="3333" width="9.125" style="459" customWidth="1"/>
    <col min="3334" max="3334" width="8.125" style="459" customWidth="1"/>
    <col min="3335" max="3335" width="7.375" style="459" customWidth="1"/>
    <col min="3336" max="3336" width="8.5" style="459" customWidth="1"/>
    <col min="3337" max="3337" width="8.625" style="459" customWidth="1"/>
    <col min="3338" max="3338" width="8.75" style="459" customWidth="1"/>
    <col min="3339" max="3339" width="8" style="459" customWidth="1"/>
    <col min="3340" max="3340" width="8.375" style="459" customWidth="1"/>
    <col min="3341" max="3341" width="8.25" style="459" customWidth="1"/>
    <col min="3342" max="3343" width="9.375" style="459" customWidth="1"/>
    <col min="3344" max="3344" width="12.125" style="459" bestFit="1" customWidth="1"/>
    <col min="3345" max="3345" width="9" style="459"/>
    <col min="3346" max="3346" width="11.875" style="459" bestFit="1" customWidth="1"/>
    <col min="3347" max="3584" width="9" style="459"/>
    <col min="3585" max="3585" width="6.125" style="459" customWidth="1"/>
    <col min="3586" max="3586" width="12" style="459" customWidth="1"/>
    <col min="3587" max="3587" width="13.5" style="459" customWidth="1"/>
    <col min="3588" max="3588" width="9.25" style="459" customWidth="1"/>
    <col min="3589" max="3589" width="9.125" style="459" customWidth="1"/>
    <col min="3590" max="3590" width="8.125" style="459" customWidth="1"/>
    <col min="3591" max="3591" width="7.375" style="459" customWidth="1"/>
    <col min="3592" max="3592" width="8.5" style="459" customWidth="1"/>
    <col min="3593" max="3593" width="8.625" style="459" customWidth="1"/>
    <col min="3594" max="3594" width="8.75" style="459" customWidth="1"/>
    <col min="3595" max="3595" width="8" style="459" customWidth="1"/>
    <col min="3596" max="3596" width="8.375" style="459" customWidth="1"/>
    <col min="3597" max="3597" width="8.25" style="459" customWidth="1"/>
    <col min="3598" max="3599" width="9.375" style="459" customWidth="1"/>
    <col min="3600" max="3600" width="12.125" style="459" bestFit="1" customWidth="1"/>
    <col min="3601" max="3601" width="9" style="459"/>
    <col min="3602" max="3602" width="11.875" style="459" bestFit="1" customWidth="1"/>
    <col min="3603" max="3840" width="9" style="459"/>
    <col min="3841" max="3841" width="6.125" style="459" customWidth="1"/>
    <col min="3842" max="3842" width="12" style="459" customWidth="1"/>
    <col min="3843" max="3843" width="13.5" style="459" customWidth="1"/>
    <col min="3844" max="3844" width="9.25" style="459" customWidth="1"/>
    <col min="3845" max="3845" width="9.125" style="459" customWidth="1"/>
    <col min="3846" max="3846" width="8.125" style="459" customWidth="1"/>
    <col min="3847" max="3847" width="7.375" style="459" customWidth="1"/>
    <col min="3848" max="3848" width="8.5" style="459" customWidth="1"/>
    <col min="3849" max="3849" width="8.625" style="459" customWidth="1"/>
    <col min="3850" max="3850" width="8.75" style="459" customWidth="1"/>
    <col min="3851" max="3851" width="8" style="459" customWidth="1"/>
    <col min="3852" max="3852" width="8.375" style="459" customWidth="1"/>
    <col min="3853" max="3853" width="8.25" style="459" customWidth="1"/>
    <col min="3854" max="3855" width="9.375" style="459" customWidth="1"/>
    <col min="3856" max="3856" width="12.125" style="459" bestFit="1" customWidth="1"/>
    <col min="3857" max="3857" width="9" style="459"/>
    <col min="3858" max="3858" width="11.875" style="459" bestFit="1" customWidth="1"/>
    <col min="3859" max="4096" width="9" style="459"/>
    <col min="4097" max="4097" width="6.125" style="459" customWidth="1"/>
    <col min="4098" max="4098" width="12" style="459" customWidth="1"/>
    <col min="4099" max="4099" width="13.5" style="459" customWidth="1"/>
    <col min="4100" max="4100" width="9.25" style="459" customWidth="1"/>
    <col min="4101" max="4101" width="9.125" style="459" customWidth="1"/>
    <col min="4102" max="4102" width="8.125" style="459" customWidth="1"/>
    <col min="4103" max="4103" width="7.375" style="459" customWidth="1"/>
    <col min="4104" max="4104" width="8.5" style="459" customWidth="1"/>
    <col min="4105" max="4105" width="8.625" style="459" customWidth="1"/>
    <col min="4106" max="4106" width="8.75" style="459" customWidth="1"/>
    <col min="4107" max="4107" width="8" style="459" customWidth="1"/>
    <col min="4108" max="4108" width="8.375" style="459" customWidth="1"/>
    <col min="4109" max="4109" width="8.25" style="459" customWidth="1"/>
    <col min="4110" max="4111" width="9.375" style="459" customWidth="1"/>
    <col min="4112" max="4112" width="12.125" style="459" bestFit="1" customWidth="1"/>
    <col min="4113" max="4113" width="9" style="459"/>
    <col min="4114" max="4114" width="11.875" style="459" bestFit="1" customWidth="1"/>
    <col min="4115" max="4352" width="9" style="459"/>
    <col min="4353" max="4353" width="6.125" style="459" customWidth="1"/>
    <col min="4354" max="4354" width="12" style="459" customWidth="1"/>
    <col min="4355" max="4355" width="13.5" style="459" customWidth="1"/>
    <col min="4356" max="4356" width="9.25" style="459" customWidth="1"/>
    <col min="4357" max="4357" width="9.125" style="459" customWidth="1"/>
    <col min="4358" max="4358" width="8.125" style="459" customWidth="1"/>
    <col min="4359" max="4359" width="7.375" style="459" customWidth="1"/>
    <col min="4360" max="4360" width="8.5" style="459" customWidth="1"/>
    <col min="4361" max="4361" width="8.625" style="459" customWidth="1"/>
    <col min="4362" max="4362" width="8.75" style="459" customWidth="1"/>
    <col min="4363" max="4363" width="8" style="459" customWidth="1"/>
    <col min="4364" max="4364" width="8.375" style="459" customWidth="1"/>
    <col min="4365" max="4365" width="8.25" style="459" customWidth="1"/>
    <col min="4366" max="4367" width="9.375" style="459" customWidth="1"/>
    <col min="4368" max="4368" width="12.125" style="459" bestFit="1" customWidth="1"/>
    <col min="4369" max="4369" width="9" style="459"/>
    <col min="4370" max="4370" width="11.875" style="459" bestFit="1" customWidth="1"/>
    <col min="4371" max="4608" width="9" style="459"/>
    <col min="4609" max="4609" width="6.125" style="459" customWidth="1"/>
    <col min="4610" max="4610" width="12" style="459" customWidth="1"/>
    <col min="4611" max="4611" width="13.5" style="459" customWidth="1"/>
    <col min="4612" max="4612" width="9.25" style="459" customWidth="1"/>
    <col min="4613" max="4613" width="9.125" style="459" customWidth="1"/>
    <col min="4614" max="4614" width="8.125" style="459" customWidth="1"/>
    <col min="4615" max="4615" width="7.375" style="459" customWidth="1"/>
    <col min="4616" max="4616" width="8.5" style="459" customWidth="1"/>
    <col min="4617" max="4617" width="8.625" style="459" customWidth="1"/>
    <col min="4618" max="4618" width="8.75" style="459" customWidth="1"/>
    <col min="4619" max="4619" width="8" style="459" customWidth="1"/>
    <col min="4620" max="4620" width="8.375" style="459" customWidth="1"/>
    <col min="4621" max="4621" width="8.25" style="459" customWidth="1"/>
    <col min="4622" max="4623" width="9.375" style="459" customWidth="1"/>
    <col min="4624" max="4624" width="12.125" style="459" bestFit="1" customWidth="1"/>
    <col min="4625" max="4625" width="9" style="459"/>
    <col min="4626" max="4626" width="11.875" style="459" bestFit="1" customWidth="1"/>
    <col min="4627" max="4864" width="9" style="459"/>
    <col min="4865" max="4865" width="6.125" style="459" customWidth="1"/>
    <col min="4866" max="4866" width="12" style="459" customWidth="1"/>
    <col min="4867" max="4867" width="13.5" style="459" customWidth="1"/>
    <col min="4868" max="4868" width="9.25" style="459" customWidth="1"/>
    <col min="4869" max="4869" width="9.125" style="459" customWidth="1"/>
    <col min="4870" max="4870" width="8.125" style="459" customWidth="1"/>
    <col min="4871" max="4871" width="7.375" style="459" customWidth="1"/>
    <col min="4872" max="4872" width="8.5" style="459" customWidth="1"/>
    <col min="4873" max="4873" width="8.625" style="459" customWidth="1"/>
    <col min="4874" max="4874" width="8.75" style="459" customWidth="1"/>
    <col min="4875" max="4875" width="8" style="459" customWidth="1"/>
    <col min="4876" max="4876" width="8.375" style="459" customWidth="1"/>
    <col min="4877" max="4877" width="8.25" style="459" customWidth="1"/>
    <col min="4878" max="4879" width="9.375" style="459" customWidth="1"/>
    <col min="4880" max="4880" width="12.125" style="459" bestFit="1" customWidth="1"/>
    <col min="4881" max="4881" width="9" style="459"/>
    <col min="4882" max="4882" width="11.875" style="459" bestFit="1" customWidth="1"/>
    <col min="4883" max="5120" width="9" style="459"/>
    <col min="5121" max="5121" width="6.125" style="459" customWidth="1"/>
    <col min="5122" max="5122" width="12" style="459" customWidth="1"/>
    <col min="5123" max="5123" width="13.5" style="459" customWidth="1"/>
    <col min="5124" max="5124" width="9.25" style="459" customWidth="1"/>
    <col min="5125" max="5125" width="9.125" style="459" customWidth="1"/>
    <col min="5126" max="5126" width="8.125" style="459" customWidth="1"/>
    <col min="5127" max="5127" width="7.375" style="459" customWidth="1"/>
    <col min="5128" max="5128" width="8.5" style="459" customWidth="1"/>
    <col min="5129" max="5129" width="8.625" style="459" customWidth="1"/>
    <col min="5130" max="5130" width="8.75" style="459" customWidth="1"/>
    <col min="5131" max="5131" width="8" style="459" customWidth="1"/>
    <col min="5132" max="5132" width="8.375" style="459" customWidth="1"/>
    <col min="5133" max="5133" width="8.25" style="459" customWidth="1"/>
    <col min="5134" max="5135" width="9.375" style="459" customWidth="1"/>
    <col min="5136" max="5136" width="12.125" style="459" bestFit="1" customWidth="1"/>
    <col min="5137" max="5137" width="9" style="459"/>
    <col min="5138" max="5138" width="11.875" style="459" bestFit="1" customWidth="1"/>
    <col min="5139" max="5376" width="9" style="459"/>
    <col min="5377" max="5377" width="6.125" style="459" customWidth="1"/>
    <col min="5378" max="5378" width="12" style="459" customWidth="1"/>
    <col min="5379" max="5379" width="13.5" style="459" customWidth="1"/>
    <col min="5380" max="5380" width="9.25" style="459" customWidth="1"/>
    <col min="5381" max="5381" width="9.125" style="459" customWidth="1"/>
    <col min="5382" max="5382" width="8.125" style="459" customWidth="1"/>
    <col min="5383" max="5383" width="7.375" style="459" customWidth="1"/>
    <col min="5384" max="5384" width="8.5" style="459" customWidth="1"/>
    <col min="5385" max="5385" width="8.625" style="459" customWidth="1"/>
    <col min="5386" max="5386" width="8.75" style="459" customWidth="1"/>
    <col min="5387" max="5387" width="8" style="459" customWidth="1"/>
    <col min="5388" max="5388" width="8.375" style="459" customWidth="1"/>
    <col min="5389" max="5389" width="8.25" style="459" customWidth="1"/>
    <col min="5390" max="5391" width="9.375" style="459" customWidth="1"/>
    <col min="5392" max="5392" width="12.125" style="459" bestFit="1" customWidth="1"/>
    <col min="5393" max="5393" width="9" style="459"/>
    <col min="5394" max="5394" width="11.875" style="459" bestFit="1" customWidth="1"/>
    <col min="5395" max="5632" width="9" style="459"/>
    <col min="5633" max="5633" width="6.125" style="459" customWidth="1"/>
    <col min="5634" max="5634" width="12" style="459" customWidth="1"/>
    <col min="5635" max="5635" width="13.5" style="459" customWidth="1"/>
    <col min="5636" max="5636" width="9.25" style="459" customWidth="1"/>
    <col min="5637" max="5637" width="9.125" style="459" customWidth="1"/>
    <col min="5638" max="5638" width="8.125" style="459" customWidth="1"/>
    <col min="5639" max="5639" width="7.375" style="459" customWidth="1"/>
    <col min="5640" max="5640" width="8.5" style="459" customWidth="1"/>
    <col min="5641" max="5641" width="8.625" style="459" customWidth="1"/>
    <col min="5642" max="5642" width="8.75" style="459" customWidth="1"/>
    <col min="5643" max="5643" width="8" style="459" customWidth="1"/>
    <col min="5644" max="5644" width="8.375" style="459" customWidth="1"/>
    <col min="5645" max="5645" width="8.25" style="459" customWidth="1"/>
    <col min="5646" max="5647" width="9.375" style="459" customWidth="1"/>
    <col min="5648" max="5648" width="12.125" style="459" bestFit="1" customWidth="1"/>
    <col min="5649" max="5649" width="9" style="459"/>
    <col min="5650" max="5650" width="11.875" style="459" bestFit="1" customWidth="1"/>
    <col min="5651" max="5888" width="9" style="459"/>
    <col min="5889" max="5889" width="6.125" style="459" customWidth="1"/>
    <col min="5890" max="5890" width="12" style="459" customWidth="1"/>
    <col min="5891" max="5891" width="13.5" style="459" customWidth="1"/>
    <col min="5892" max="5892" width="9.25" style="459" customWidth="1"/>
    <col min="5893" max="5893" width="9.125" style="459" customWidth="1"/>
    <col min="5894" max="5894" width="8.125" style="459" customWidth="1"/>
    <col min="5895" max="5895" width="7.375" style="459" customWidth="1"/>
    <col min="5896" max="5896" width="8.5" style="459" customWidth="1"/>
    <col min="5897" max="5897" width="8.625" style="459" customWidth="1"/>
    <col min="5898" max="5898" width="8.75" style="459" customWidth="1"/>
    <col min="5899" max="5899" width="8" style="459" customWidth="1"/>
    <col min="5900" max="5900" width="8.375" style="459" customWidth="1"/>
    <col min="5901" max="5901" width="8.25" style="459" customWidth="1"/>
    <col min="5902" max="5903" width="9.375" style="459" customWidth="1"/>
    <col min="5904" max="5904" width="12.125" style="459" bestFit="1" customWidth="1"/>
    <col min="5905" max="5905" width="9" style="459"/>
    <col min="5906" max="5906" width="11.875" style="459" bestFit="1" customWidth="1"/>
    <col min="5907" max="6144" width="9" style="459"/>
    <col min="6145" max="6145" width="6.125" style="459" customWidth="1"/>
    <col min="6146" max="6146" width="12" style="459" customWidth="1"/>
    <col min="6147" max="6147" width="13.5" style="459" customWidth="1"/>
    <col min="6148" max="6148" width="9.25" style="459" customWidth="1"/>
    <col min="6149" max="6149" width="9.125" style="459" customWidth="1"/>
    <col min="6150" max="6150" width="8.125" style="459" customWidth="1"/>
    <col min="6151" max="6151" width="7.375" style="459" customWidth="1"/>
    <col min="6152" max="6152" width="8.5" style="459" customWidth="1"/>
    <col min="6153" max="6153" width="8.625" style="459" customWidth="1"/>
    <col min="6154" max="6154" width="8.75" style="459" customWidth="1"/>
    <col min="6155" max="6155" width="8" style="459" customWidth="1"/>
    <col min="6156" max="6156" width="8.375" style="459" customWidth="1"/>
    <col min="6157" max="6157" width="8.25" style="459" customWidth="1"/>
    <col min="6158" max="6159" width="9.375" style="459" customWidth="1"/>
    <col min="6160" max="6160" width="12.125" style="459" bestFit="1" customWidth="1"/>
    <col min="6161" max="6161" width="9" style="459"/>
    <col min="6162" max="6162" width="11.875" style="459" bestFit="1" customWidth="1"/>
    <col min="6163" max="6400" width="9" style="459"/>
    <col min="6401" max="6401" width="6.125" style="459" customWidth="1"/>
    <col min="6402" max="6402" width="12" style="459" customWidth="1"/>
    <col min="6403" max="6403" width="13.5" style="459" customWidth="1"/>
    <col min="6404" max="6404" width="9.25" style="459" customWidth="1"/>
    <col min="6405" max="6405" width="9.125" style="459" customWidth="1"/>
    <col min="6406" max="6406" width="8.125" style="459" customWidth="1"/>
    <col min="6407" max="6407" width="7.375" style="459" customWidth="1"/>
    <col min="6408" max="6408" width="8.5" style="459" customWidth="1"/>
    <col min="6409" max="6409" width="8.625" style="459" customWidth="1"/>
    <col min="6410" max="6410" width="8.75" style="459" customWidth="1"/>
    <col min="6411" max="6411" width="8" style="459" customWidth="1"/>
    <col min="6412" max="6412" width="8.375" style="459" customWidth="1"/>
    <col min="6413" max="6413" width="8.25" style="459" customWidth="1"/>
    <col min="6414" max="6415" width="9.375" style="459" customWidth="1"/>
    <col min="6416" max="6416" width="12.125" style="459" bestFit="1" customWidth="1"/>
    <col min="6417" max="6417" width="9" style="459"/>
    <col min="6418" max="6418" width="11.875" style="459" bestFit="1" customWidth="1"/>
    <col min="6419" max="6656" width="9" style="459"/>
    <col min="6657" max="6657" width="6.125" style="459" customWidth="1"/>
    <col min="6658" max="6658" width="12" style="459" customWidth="1"/>
    <col min="6659" max="6659" width="13.5" style="459" customWidth="1"/>
    <col min="6660" max="6660" width="9.25" style="459" customWidth="1"/>
    <col min="6661" max="6661" width="9.125" style="459" customWidth="1"/>
    <col min="6662" max="6662" width="8.125" style="459" customWidth="1"/>
    <col min="6663" max="6663" width="7.375" style="459" customWidth="1"/>
    <col min="6664" max="6664" width="8.5" style="459" customWidth="1"/>
    <col min="6665" max="6665" width="8.625" style="459" customWidth="1"/>
    <col min="6666" max="6666" width="8.75" style="459" customWidth="1"/>
    <col min="6667" max="6667" width="8" style="459" customWidth="1"/>
    <col min="6668" max="6668" width="8.375" style="459" customWidth="1"/>
    <col min="6669" max="6669" width="8.25" style="459" customWidth="1"/>
    <col min="6670" max="6671" width="9.375" style="459" customWidth="1"/>
    <col min="6672" max="6672" width="12.125" style="459" bestFit="1" customWidth="1"/>
    <col min="6673" max="6673" width="9" style="459"/>
    <col min="6674" max="6674" width="11.875" style="459" bestFit="1" customWidth="1"/>
    <col min="6675" max="6912" width="9" style="459"/>
    <col min="6913" max="6913" width="6.125" style="459" customWidth="1"/>
    <col min="6914" max="6914" width="12" style="459" customWidth="1"/>
    <col min="6915" max="6915" width="13.5" style="459" customWidth="1"/>
    <col min="6916" max="6916" width="9.25" style="459" customWidth="1"/>
    <col min="6917" max="6917" width="9.125" style="459" customWidth="1"/>
    <col min="6918" max="6918" width="8.125" style="459" customWidth="1"/>
    <col min="6919" max="6919" width="7.375" style="459" customWidth="1"/>
    <col min="6920" max="6920" width="8.5" style="459" customWidth="1"/>
    <col min="6921" max="6921" width="8.625" style="459" customWidth="1"/>
    <col min="6922" max="6922" width="8.75" style="459" customWidth="1"/>
    <col min="6923" max="6923" width="8" style="459" customWidth="1"/>
    <col min="6924" max="6924" width="8.375" style="459" customWidth="1"/>
    <col min="6925" max="6925" width="8.25" style="459" customWidth="1"/>
    <col min="6926" max="6927" width="9.375" style="459" customWidth="1"/>
    <col min="6928" max="6928" width="12.125" style="459" bestFit="1" customWidth="1"/>
    <col min="6929" max="6929" width="9" style="459"/>
    <col min="6930" max="6930" width="11.875" style="459" bestFit="1" customWidth="1"/>
    <col min="6931" max="7168" width="9" style="459"/>
    <col min="7169" max="7169" width="6.125" style="459" customWidth="1"/>
    <col min="7170" max="7170" width="12" style="459" customWidth="1"/>
    <col min="7171" max="7171" width="13.5" style="459" customWidth="1"/>
    <col min="7172" max="7172" width="9.25" style="459" customWidth="1"/>
    <col min="7173" max="7173" width="9.125" style="459" customWidth="1"/>
    <col min="7174" max="7174" width="8.125" style="459" customWidth="1"/>
    <col min="7175" max="7175" width="7.375" style="459" customWidth="1"/>
    <col min="7176" max="7176" width="8.5" style="459" customWidth="1"/>
    <col min="7177" max="7177" width="8.625" style="459" customWidth="1"/>
    <col min="7178" max="7178" width="8.75" style="459" customWidth="1"/>
    <col min="7179" max="7179" width="8" style="459" customWidth="1"/>
    <col min="7180" max="7180" width="8.375" style="459" customWidth="1"/>
    <col min="7181" max="7181" width="8.25" style="459" customWidth="1"/>
    <col min="7182" max="7183" width="9.375" style="459" customWidth="1"/>
    <col min="7184" max="7184" width="12.125" style="459" bestFit="1" customWidth="1"/>
    <col min="7185" max="7185" width="9" style="459"/>
    <col min="7186" max="7186" width="11.875" style="459" bestFit="1" customWidth="1"/>
    <col min="7187" max="7424" width="9" style="459"/>
    <col min="7425" max="7425" width="6.125" style="459" customWidth="1"/>
    <col min="7426" max="7426" width="12" style="459" customWidth="1"/>
    <col min="7427" max="7427" width="13.5" style="459" customWidth="1"/>
    <col min="7428" max="7428" width="9.25" style="459" customWidth="1"/>
    <col min="7429" max="7429" width="9.125" style="459" customWidth="1"/>
    <col min="7430" max="7430" width="8.125" style="459" customWidth="1"/>
    <col min="7431" max="7431" width="7.375" style="459" customWidth="1"/>
    <col min="7432" max="7432" width="8.5" style="459" customWidth="1"/>
    <col min="7433" max="7433" width="8.625" style="459" customWidth="1"/>
    <col min="7434" max="7434" width="8.75" style="459" customWidth="1"/>
    <col min="7435" max="7435" width="8" style="459" customWidth="1"/>
    <col min="7436" max="7436" width="8.375" style="459" customWidth="1"/>
    <col min="7437" max="7437" width="8.25" style="459" customWidth="1"/>
    <col min="7438" max="7439" width="9.375" style="459" customWidth="1"/>
    <col min="7440" max="7440" width="12.125" style="459" bestFit="1" customWidth="1"/>
    <col min="7441" max="7441" width="9" style="459"/>
    <col min="7442" max="7442" width="11.875" style="459" bestFit="1" customWidth="1"/>
    <col min="7443" max="7680" width="9" style="459"/>
    <col min="7681" max="7681" width="6.125" style="459" customWidth="1"/>
    <col min="7682" max="7682" width="12" style="459" customWidth="1"/>
    <col min="7683" max="7683" width="13.5" style="459" customWidth="1"/>
    <col min="7684" max="7684" width="9.25" style="459" customWidth="1"/>
    <col min="7685" max="7685" width="9.125" style="459" customWidth="1"/>
    <col min="7686" max="7686" width="8.125" style="459" customWidth="1"/>
    <col min="7687" max="7687" width="7.375" style="459" customWidth="1"/>
    <col min="7688" max="7688" width="8.5" style="459" customWidth="1"/>
    <col min="7689" max="7689" width="8.625" style="459" customWidth="1"/>
    <col min="7690" max="7690" width="8.75" style="459" customWidth="1"/>
    <col min="7691" max="7691" width="8" style="459" customWidth="1"/>
    <col min="7692" max="7692" width="8.375" style="459" customWidth="1"/>
    <col min="7693" max="7693" width="8.25" style="459" customWidth="1"/>
    <col min="7694" max="7695" width="9.375" style="459" customWidth="1"/>
    <col min="7696" max="7696" width="12.125" style="459" bestFit="1" customWidth="1"/>
    <col min="7697" max="7697" width="9" style="459"/>
    <col min="7698" max="7698" width="11.875" style="459" bestFit="1" customWidth="1"/>
    <col min="7699" max="7936" width="9" style="459"/>
    <col min="7937" max="7937" width="6.125" style="459" customWidth="1"/>
    <col min="7938" max="7938" width="12" style="459" customWidth="1"/>
    <col min="7939" max="7939" width="13.5" style="459" customWidth="1"/>
    <col min="7940" max="7940" width="9.25" style="459" customWidth="1"/>
    <col min="7941" max="7941" width="9.125" style="459" customWidth="1"/>
    <col min="7942" max="7942" width="8.125" style="459" customWidth="1"/>
    <col min="7943" max="7943" width="7.375" style="459" customWidth="1"/>
    <col min="7944" max="7944" width="8.5" style="459" customWidth="1"/>
    <col min="7945" max="7945" width="8.625" style="459" customWidth="1"/>
    <col min="7946" max="7946" width="8.75" style="459" customWidth="1"/>
    <col min="7947" max="7947" width="8" style="459" customWidth="1"/>
    <col min="7948" max="7948" width="8.375" style="459" customWidth="1"/>
    <col min="7949" max="7949" width="8.25" style="459" customWidth="1"/>
    <col min="7950" max="7951" width="9.375" style="459" customWidth="1"/>
    <col min="7952" max="7952" width="12.125" style="459" bestFit="1" customWidth="1"/>
    <col min="7953" max="7953" width="9" style="459"/>
    <col min="7954" max="7954" width="11.875" style="459" bestFit="1" customWidth="1"/>
    <col min="7955" max="8192" width="9" style="459"/>
    <col min="8193" max="8193" width="6.125" style="459" customWidth="1"/>
    <col min="8194" max="8194" width="12" style="459" customWidth="1"/>
    <col min="8195" max="8195" width="13.5" style="459" customWidth="1"/>
    <col min="8196" max="8196" width="9.25" style="459" customWidth="1"/>
    <col min="8197" max="8197" width="9.125" style="459" customWidth="1"/>
    <col min="8198" max="8198" width="8.125" style="459" customWidth="1"/>
    <col min="8199" max="8199" width="7.375" style="459" customWidth="1"/>
    <col min="8200" max="8200" width="8.5" style="459" customWidth="1"/>
    <col min="8201" max="8201" width="8.625" style="459" customWidth="1"/>
    <col min="8202" max="8202" width="8.75" style="459" customWidth="1"/>
    <col min="8203" max="8203" width="8" style="459" customWidth="1"/>
    <col min="8204" max="8204" width="8.375" style="459" customWidth="1"/>
    <col min="8205" max="8205" width="8.25" style="459" customWidth="1"/>
    <col min="8206" max="8207" width="9.375" style="459" customWidth="1"/>
    <col min="8208" max="8208" width="12.125" style="459" bestFit="1" customWidth="1"/>
    <col min="8209" max="8209" width="9" style="459"/>
    <col min="8210" max="8210" width="11.875" style="459" bestFit="1" customWidth="1"/>
    <col min="8211" max="8448" width="9" style="459"/>
    <col min="8449" max="8449" width="6.125" style="459" customWidth="1"/>
    <col min="8450" max="8450" width="12" style="459" customWidth="1"/>
    <col min="8451" max="8451" width="13.5" style="459" customWidth="1"/>
    <col min="8452" max="8452" width="9.25" style="459" customWidth="1"/>
    <col min="8453" max="8453" width="9.125" style="459" customWidth="1"/>
    <col min="8454" max="8454" width="8.125" style="459" customWidth="1"/>
    <col min="8455" max="8455" width="7.375" style="459" customWidth="1"/>
    <col min="8456" max="8456" width="8.5" style="459" customWidth="1"/>
    <col min="8457" max="8457" width="8.625" style="459" customWidth="1"/>
    <col min="8458" max="8458" width="8.75" style="459" customWidth="1"/>
    <col min="8459" max="8459" width="8" style="459" customWidth="1"/>
    <col min="8460" max="8460" width="8.375" style="459" customWidth="1"/>
    <col min="8461" max="8461" width="8.25" style="459" customWidth="1"/>
    <col min="8462" max="8463" width="9.375" style="459" customWidth="1"/>
    <col min="8464" max="8464" width="12.125" style="459" bestFit="1" customWidth="1"/>
    <col min="8465" max="8465" width="9" style="459"/>
    <col min="8466" max="8466" width="11.875" style="459" bestFit="1" customWidth="1"/>
    <col min="8467" max="8704" width="9" style="459"/>
    <col min="8705" max="8705" width="6.125" style="459" customWidth="1"/>
    <col min="8706" max="8706" width="12" style="459" customWidth="1"/>
    <col min="8707" max="8707" width="13.5" style="459" customWidth="1"/>
    <col min="8708" max="8708" width="9.25" style="459" customWidth="1"/>
    <col min="8709" max="8709" width="9.125" style="459" customWidth="1"/>
    <col min="8710" max="8710" width="8.125" style="459" customWidth="1"/>
    <col min="8711" max="8711" width="7.375" style="459" customWidth="1"/>
    <col min="8712" max="8712" width="8.5" style="459" customWidth="1"/>
    <col min="8713" max="8713" width="8.625" style="459" customWidth="1"/>
    <col min="8714" max="8714" width="8.75" style="459" customWidth="1"/>
    <col min="8715" max="8715" width="8" style="459" customWidth="1"/>
    <col min="8716" max="8716" width="8.375" style="459" customWidth="1"/>
    <col min="8717" max="8717" width="8.25" style="459" customWidth="1"/>
    <col min="8718" max="8719" width="9.375" style="459" customWidth="1"/>
    <col min="8720" max="8720" width="12.125" style="459" bestFit="1" customWidth="1"/>
    <col min="8721" max="8721" width="9" style="459"/>
    <col min="8722" max="8722" width="11.875" style="459" bestFit="1" customWidth="1"/>
    <col min="8723" max="8960" width="9" style="459"/>
    <col min="8961" max="8961" width="6.125" style="459" customWidth="1"/>
    <col min="8962" max="8962" width="12" style="459" customWidth="1"/>
    <col min="8963" max="8963" width="13.5" style="459" customWidth="1"/>
    <col min="8964" max="8964" width="9.25" style="459" customWidth="1"/>
    <col min="8965" max="8965" width="9.125" style="459" customWidth="1"/>
    <col min="8966" max="8966" width="8.125" style="459" customWidth="1"/>
    <col min="8967" max="8967" width="7.375" style="459" customWidth="1"/>
    <col min="8968" max="8968" width="8.5" style="459" customWidth="1"/>
    <col min="8969" max="8969" width="8.625" style="459" customWidth="1"/>
    <col min="8970" max="8970" width="8.75" style="459" customWidth="1"/>
    <col min="8971" max="8971" width="8" style="459" customWidth="1"/>
    <col min="8972" max="8972" width="8.375" style="459" customWidth="1"/>
    <col min="8973" max="8973" width="8.25" style="459" customWidth="1"/>
    <col min="8974" max="8975" width="9.375" style="459" customWidth="1"/>
    <col min="8976" max="8976" width="12.125" style="459" bestFit="1" customWidth="1"/>
    <col min="8977" max="8977" width="9" style="459"/>
    <col min="8978" max="8978" width="11.875" style="459" bestFit="1" customWidth="1"/>
    <col min="8979" max="9216" width="9" style="459"/>
    <col min="9217" max="9217" width="6.125" style="459" customWidth="1"/>
    <col min="9218" max="9218" width="12" style="459" customWidth="1"/>
    <col min="9219" max="9219" width="13.5" style="459" customWidth="1"/>
    <col min="9220" max="9220" width="9.25" style="459" customWidth="1"/>
    <col min="9221" max="9221" width="9.125" style="459" customWidth="1"/>
    <col min="9222" max="9222" width="8.125" style="459" customWidth="1"/>
    <col min="9223" max="9223" width="7.375" style="459" customWidth="1"/>
    <col min="9224" max="9224" width="8.5" style="459" customWidth="1"/>
    <col min="9225" max="9225" width="8.625" style="459" customWidth="1"/>
    <col min="9226" max="9226" width="8.75" style="459" customWidth="1"/>
    <col min="9227" max="9227" width="8" style="459" customWidth="1"/>
    <col min="9228" max="9228" width="8.375" style="459" customWidth="1"/>
    <col min="9229" max="9229" width="8.25" style="459" customWidth="1"/>
    <col min="9230" max="9231" width="9.375" style="459" customWidth="1"/>
    <col min="9232" max="9232" width="12.125" style="459" bestFit="1" customWidth="1"/>
    <col min="9233" max="9233" width="9" style="459"/>
    <col min="9234" max="9234" width="11.875" style="459" bestFit="1" customWidth="1"/>
    <col min="9235" max="9472" width="9" style="459"/>
    <col min="9473" max="9473" width="6.125" style="459" customWidth="1"/>
    <col min="9474" max="9474" width="12" style="459" customWidth="1"/>
    <col min="9475" max="9475" width="13.5" style="459" customWidth="1"/>
    <col min="9476" max="9476" width="9.25" style="459" customWidth="1"/>
    <col min="9477" max="9477" width="9.125" style="459" customWidth="1"/>
    <col min="9478" max="9478" width="8.125" style="459" customWidth="1"/>
    <col min="9479" max="9479" width="7.375" style="459" customWidth="1"/>
    <col min="9480" max="9480" width="8.5" style="459" customWidth="1"/>
    <col min="9481" max="9481" width="8.625" style="459" customWidth="1"/>
    <col min="9482" max="9482" width="8.75" style="459" customWidth="1"/>
    <col min="9483" max="9483" width="8" style="459" customWidth="1"/>
    <col min="9484" max="9484" width="8.375" style="459" customWidth="1"/>
    <col min="9485" max="9485" width="8.25" style="459" customWidth="1"/>
    <col min="9486" max="9487" width="9.375" style="459" customWidth="1"/>
    <col min="9488" max="9488" width="12.125" style="459" bestFit="1" customWidth="1"/>
    <col min="9489" max="9489" width="9" style="459"/>
    <col min="9490" max="9490" width="11.875" style="459" bestFit="1" customWidth="1"/>
    <col min="9491" max="9728" width="9" style="459"/>
    <col min="9729" max="9729" width="6.125" style="459" customWidth="1"/>
    <col min="9730" max="9730" width="12" style="459" customWidth="1"/>
    <col min="9731" max="9731" width="13.5" style="459" customWidth="1"/>
    <col min="9732" max="9732" width="9.25" style="459" customWidth="1"/>
    <col min="9733" max="9733" width="9.125" style="459" customWidth="1"/>
    <col min="9734" max="9734" width="8.125" style="459" customWidth="1"/>
    <col min="9735" max="9735" width="7.375" style="459" customWidth="1"/>
    <col min="9736" max="9736" width="8.5" style="459" customWidth="1"/>
    <col min="9737" max="9737" width="8.625" style="459" customWidth="1"/>
    <col min="9738" max="9738" width="8.75" style="459" customWidth="1"/>
    <col min="9739" max="9739" width="8" style="459" customWidth="1"/>
    <col min="9740" max="9740" width="8.375" style="459" customWidth="1"/>
    <col min="9741" max="9741" width="8.25" style="459" customWidth="1"/>
    <col min="9742" max="9743" width="9.375" style="459" customWidth="1"/>
    <col min="9744" max="9744" width="12.125" style="459" bestFit="1" customWidth="1"/>
    <col min="9745" max="9745" width="9" style="459"/>
    <col min="9746" max="9746" width="11.875" style="459" bestFit="1" customWidth="1"/>
    <col min="9747" max="9984" width="9" style="459"/>
    <col min="9985" max="9985" width="6.125" style="459" customWidth="1"/>
    <col min="9986" max="9986" width="12" style="459" customWidth="1"/>
    <col min="9987" max="9987" width="13.5" style="459" customWidth="1"/>
    <col min="9988" max="9988" width="9.25" style="459" customWidth="1"/>
    <col min="9989" max="9989" width="9.125" style="459" customWidth="1"/>
    <col min="9990" max="9990" width="8.125" style="459" customWidth="1"/>
    <col min="9991" max="9991" width="7.375" style="459" customWidth="1"/>
    <col min="9992" max="9992" width="8.5" style="459" customWidth="1"/>
    <col min="9993" max="9993" width="8.625" style="459" customWidth="1"/>
    <col min="9994" max="9994" width="8.75" style="459" customWidth="1"/>
    <col min="9995" max="9995" width="8" style="459" customWidth="1"/>
    <col min="9996" max="9996" width="8.375" style="459" customWidth="1"/>
    <col min="9997" max="9997" width="8.25" style="459" customWidth="1"/>
    <col min="9998" max="9999" width="9.375" style="459" customWidth="1"/>
    <col min="10000" max="10000" width="12.125" style="459" bestFit="1" customWidth="1"/>
    <col min="10001" max="10001" width="9" style="459"/>
    <col min="10002" max="10002" width="11.875" style="459" bestFit="1" customWidth="1"/>
    <col min="10003" max="10240" width="9" style="459"/>
    <col min="10241" max="10241" width="6.125" style="459" customWidth="1"/>
    <col min="10242" max="10242" width="12" style="459" customWidth="1"/>
    <col min="10243" max="10243" width="13.5" style="459" customWidth="1"/>
    <col min="10244" max="10244" width="9.25" style="459" customWidth="1"/>
    <col min="10245" max="10245" width="9.125" style="459" customWidth="1"/>
    <col min="10246" max="10246" width="8.125" style="459" customWidth="1"/>
    <col min="10247" max="10247" width="7.375" style="459" customWidth="1"/>
    <col min="10248" max="10248" width="8.5" style="459" customWidth="1"/>
    <col min="10249" max="10249" width="8.625" style="459" customWidth="1"/>
    <col min="10250" max="10250" width="8.75" style="459" customWidth="1"/>
    <col min="10251" max="10251" width="8" style="459" customWidth="1"/>
    <col min="10252" max="10252" width="8.375" style="459" customWidth="1"/>
    <col min="10253" max="10253" width="8.25" style="459" customWidth="1"/>
    <col min="10254" max="10255" width="9.375" style="459" customWidth="1"/>
    <col min="10256" max="10256" width="12.125" style="459" bestFit="1" customWidth="1"/>
    <col min="10257" max="10257" width="9" style="459"/>
    <col min="10258" max="10258" width="11.875" style="459" bestFit="1" customWidth="1"/>
    <col min="10259" max="10496" width="9" style="459"/>
    <col min="10497" max="10497" width="6.125" style="459" customWidth="1"/>
    <col min="10498" max="10498" width="12" style="459" customWidth="1"/>
    <col min="10499" max="10499" width="13.5" style="459" customWidth="1"/>
    <col min="10500" max="10500" width="9.25" style="459" customWidth="1"/>
    <col min="10501" max="10501" width="9.125" style="459" customWidth="1"/>
    <col min="10502" max="10502" width="8.125" style="459" customWidth="1"/>
    <col min="10503" max="10503" width="7.375" style="459" customWidth="1"/>
    <col min="10504" max="10504" width="8.5" style="459" customWidth="1"/>
    <col min="10505" max="10505" width="8.625" style="459" customWidth="1"/>
    <col min="10506" max="10506" width="8.75" style="459" customWidth="1"/>
    <col min="10507" max="10507" width="8" style="459" customWidth="1"/>
    <col min="10508" max="10508" width="8.375" style="459" customWidth="1"/>
    <col min="10509" max="10509" width="8.25" style="459" customWidth="1"/>
    <col min="10510" max="10511" width="9.375" style="459" customWidth="1"/>
    <col min="10512" max="10512" width="12.125" style="459" bestFit="1" customWidth="1"/>
    <col min="10513" max="10513" width="9" style="459"/>
    <col min="10514" max="10514" width="11.875" style="459" bestFit="1" customWidth="1"/>
    <col min="10515" max="10752" width="9" style="459"/>
    <col min="10753" max="10753" width="6.125" style="459" customWidth="1"/>
    <col min="10754" max="10754" width="12" style="459" customWidth="1"/>
    <col min="10755" max="10755" width="13.5" style="459" customWidth="1"/>
    <col min="10756" max="10756" width="9.25" style="459" customWidth="1"/>
    <col min="10757" max="10757" width="9.125" style="459" customWidth="1"/>
    <col min="10758" max="10758" width="8.125" style="459" customWidth="1"/>
    <col min="10759" max="10759" width="7.375" style="459" customWidth="1"/>
    <col min="10760" max="10760" width="8.5" style="459" customWidth="1"/>
    <col min="10761" max="10761" width="8.625" style="459" customWidth="1"/>
    <col min="10762" max="10762" width="8.75" style="459" customWidth="1"/>
    <col min="10763" max="10763" width="8" style="459" customWidth="1"/>
    <col min="10764" max="10764" width="8.375" style="459" customWidth="1"/>
    <col min="10765" max="10765" width="8.25" style="459" customWidth="1"/>
    <col min="10766" max="10767" width="9.375" style="459" customWidth="1"/>
    <col min="10768" max="10768" width="12.125" style="459" bestFit="1" customWidth="1"/>
    <col min="10769" max="10769" width="9" style="459"/>
    <col min="10770" max="10770" width="11.875" style="459" bestFit="1" customWidth="1"/>
    <col min="10771" max="11008" width="9" style="459"/>
    <col min="11009" max="11009" width="6.125" style="459" customWidth="1"/>
    <col min="11010" max="11010" width="12" style="459" customWidth="1"/>
    <col min="11011" max="11011" width="13.5" style="459" customWidth="1"/>
    <col min="11012" max="11012" width="9.25" style="459" customWidth="1"/>
    <col min="11013" max="11013" width="9.125" style="459" customWidth="1"/>
    <col min="11014" max="11014" width="8.125" style="459" customWidth="1"/>
    <col min="11015" max="11015" width="7.375" style="459" customWidth="1"/>
    <col min="11016" max="11016" width="8.5" style="459" customWidth="1"/>
    <col min="11017" max="11017" width="8.625" style="459" customWidth="1"/>
    <col min="11018" max="11018" width="8.75" style="459" customWidth="1"/>
    <col min="11019" max="11019" width="8" style="459" customWidth="1"/>
    <col min="11020" max="11020" width="8.375" style="459" customWidth="1"/>
    <col min="11021" max="11021" width="8.25" style="459" customWidth="1"/>
    <col min="11022" max="11023" width="9.375" style="459" customWidth="1"/>
    <col min="11024" max="11024" width="12.125" style="459" bestFit="1" customWidth="1"/>
    <col min="11025" max="11025" width="9" style="459"/>
    <col min="11026" max="11026" width="11.875" style="459" bestFit="1" customWidth="1"/>
    <col min="11027" max="11264" width="9" style="459"/>
    <col min="11265" max="11265" width="6.125" style="459" customWidth="1"/>
    <col min="11266" max="11266" width="12" style="459" customWidth="1"/>
    <col min="11267" max="11267" width="13.5" style="459" customWidth="1"/>
    <col min="11268" max="11268" width="9.25" style="459" customWidth="1"/>
    <col min="11269" max="11269" width="9.125" style="459" customWidth="1"/>
    <col min="11270" max="11270" width="8.125" style="459" customWidth="1"/>
    <col min="11271" max="11271" width="7.375" style="459" customWidth="1"/>
    <col min="11272" max="11272" width="8.5" style="459" customWidth="1"/>
    <col min="11273" max="11273" width="8.625" style="459" customWidth="1"/>
    <col min="11274" max="11274" width="8.75" style="459" customWidth="1"/>
    <col min="11275" max="11275" width="8" style="459" customWidth="1"/>
    <col min="11276" max="11276" width="8.375" style="459" customWidth="1"/>
    <col min="11277" max="11277" width="8.25" style="459" customWidth="1"/>
    <col min="11278" max="11279" width="9.375" style="459" customWidth="1"/>
    <col min="11280" max="11280" width="12.125" style="459" bestFit="1" customWidth="1"/>
    <col min="11281" max="11281" width="9" style="459"/>
    <col min="11282" max="11282" width="11.875" style="459" bestFit="1" customWidth="1"/>
    <col min="11283" max="11520" width="9" style="459"/>
    <col min="11521" max="11521" width="6.125" style="459" customWidth="1"/>
    <col min="11522" max="11522" width="12" style="459" customWidth="1"/>
    <col min="11523" max="11523" width="13.5" style="459" customWidth="1"/>
    <col min="11524" max="11524" width="9.25" style="459" customWidth="1"/>
    <col min="11525" max="11525" width="9.125" style="459" customWidth="1"/>
    <col min="11526" max="11526" width="8.125" style="459" customWidth="1"/>
    <col min="11527" max="11527" width="7.375" style="459" customWidth="1"/>
    <col min="11528" max="11528" width="8.5" style="459" customWidth="1"/>
    <col min="11529" max="11529" width="8.625" style="459" customWidth="1"/>
    <col min="11530" max="11530" width="8.75" style="459" customWidth="1"/>
    <col min="11531" max="11531" width="8" style="459" customWidth="1"/>
    <col min="11532" max="11532" width="8.375" style="459" customWidth="1"/>
    <col min="11533" max="11533" width="8.25" style="459" customWidth="1"/>
    <col min="11534" max="11535" width="9.375" style="459" customWidth="1"/>
    <col min="11536" max="11536" width="12.125" style="459" bestFit="1" customWidth="1"/>
    <col min="11537" max="11537" width="9" style="459"/>
    <col min="11538" max="11538" width="11.875" style="459" bestFit="1" customWidth="1"/>
    <col min="11539" max="11776" width="9" style="459"/>
    <col min="11777" max="11777" width="6.125" style="459" customWidth="1"/>
    <col min="11778" max="11778" width="12" style="459" customWidth="1"/>
    <col min="11779" max="11779" width="13.5" style="459" customWidth="1"/>
    <col min="11780" max="11780" width="9.25" style="459" customWidth="1"/>
    <col min="11781" max="11781" width="9.125" style="459" customWidth="1"/>
    <col min="11782" max="11782" width="8.125" style="459" customWidth="1"/>
    <col min="11783" max="11783" width="7.375" style="459" customWidth="1"/>
    <col min="11784" max="11784" width="8.5" style="459" customWidth="1"/>
    <col min="11785" max="11785" width="8.625" style="459" customWidth="1"/>
    <col min="11786" max="11786" width="8.75" style="459" customWidth="1"/>
    <col min="11787" max="11787" width="8" style="459" customWidth="1"/>
    <col min="11788" max="11788" width="8.375" style="459" customWidth="1"/>
    <col min="11789" max="11789" width="8.25" style="459" customWidth="1"/>
    <col min="11790" max="11791" width="9.375" style="459" customWidth="1"/>
    <col min="11792" max="11792" width="12.125" style="459" bestFit="1" customWidth="1"/>
    <col min="11793" max="11793" width="9" style="459"/>
    <col min="11794" max="11794" width="11.875" style="459" bestFit="1" customWidth="1"/>
    <col min="11795" max="12032" width="9" style="459"/>
    <col min="12033" max="12033" width="6.125" style="459" customWidth="1"/>
    <col min="12034" max="12034" width="12" style="459" customWidth="1"/>
    <col min="12035" max="12035" width="13.5" style="459" customWidth="1"/>
    <col min="12036" max="12036" width="9.25" style="459" customWidth="1"/>
    <col min="12037" max="12037" width="9.125" style="459" customWidth="1"/>
    <col min="12038" max="12038" width="8.125" style="459" customWidth="1"/>
    <col min="12039" max="12039" width="7.375" style="459" customWidth="1"/>
    <col min="12040" max="12040" width="8.5" style="459" customWidth="1"/>
    <col min="12041" max="12041" width="8.625" style="459" customWidth="1"/>
    <col min="12042" max="12042" width="8.75" style="459" customWidth="1"/>
    <col min="12043" max="12043" width="8" style="459" customWidth="1"/>
    <col min="12044" max="12044" width="8.375" style="459" customWidth="1"/>
    <col min="12045" max="12045" width="8.25" style="459" customWidth="1"/>
    <col min="12046" max="12047" width="9.375" style="459" customWidth="1"/>
    <col min="12048" max="12048" width="12.125" style="459" bestFit="1" customWidth="1"/>
    <col min="12049" max="12049" width="9" style="459"/>
    <col min="12050" max="12050" width="11.875" style="459" bestFit="1" customWidth="1"/>
    <col min="12051" max="12288" width="9" style="459"/>
    <col min="12289" max="12289" width="6.125" style="459" customWidth="1"/>
    <col min="12290" max="12290" width="12" style="459" customWidth="1"/>
    <col min="12291" max="12291" width="13.5" style="459" customWidth="1"/>
    <col min="12292" max="12292" width="9.25" style="459" customWidth="1"/>
    <col min="12293" max="12293" width="9.125" style="459" customWidth="1"/>
    <col min="12294" max="12294" width="8.125" style="459" customWidth="1"/>
    <col min="12295" max="12295" width="7.375" style="459" customWidth="1"/>
    <col min="12296" max="12296" width="8.5" style="459" customWidth="1"/>
    <col min="12297" max="12297" width="8.625" style="459" customWidth="1"/>
    <col min="12298" max="12298" width="8.75" style="459" customWidth="1"/>
    <col min="12299" max="12299" width="8" style="459" customWidth="1"/>
    <col min="12300" max="12300" width="8.375" style="459" customWidth="1"/>
    <col min="12301" max="12301" width="8.25" style="459" customWidth="1"/>
    <col min="12302" max="12303" width="9.375" style="459" customWidth="1"/>
    <col min="12304" max="12304" width="12.125" style="459" bestFit="1" customWidth="1"/>
    <col min="12305" max="12305" width="9" style="459"/>
    <col min="12306" max="12306" width="11.875" style="459" bestFit="1" customWidth="1"/>
    <col min="12307" max="12544" width="9" style="459"/>
    <col min="12545" max="12545" width="6.125" style="459" customWidth="1"/>
    <col min="12546" max="12546" width="12" style="459" customWidth="1"/>
    <col min="12547" max="12547" width="13.5" style="459" customWidth="1"/>
    <col min="12548" max="12548" width="9.25" style="459" customWidth="1"/>
    <col min="12549" max="12549" width="9.125" style="459" customWidth="1"/>
    <col min="12550" max="12550" width="8.125" style="459" customWidth="1"/>
    <col min="12551" max="12551" width="7.375" style="459" customWidth="1"/>
    <col min="12552" max="12552" width="8.5" style="459" customWidth="1"/>
    <col min="12553" max="12553" width="8.625" style="459" customWidth="1"/>
    <col min="12554" max="12554" width="8.75" style="459" customWidth="1"/>
    <col min="12555" max="12555" width="8" style="459" customWidth="1"/>
    <col min="12556" max="12556" width="8.375" style="459" customWidth="1"/>
    <col min="12557" max="12557" width="8.25" style="459" customWidth="1"/>
    <col min="12558" max="12559" width="9.375" style="459" customWidth="1"/>
    <col min="12560" max="12560" width="12.125" style="459" bestFit="1" customWidth="1"/>
    <col min="12561" max="12561" width="9" style="459"/>
    <col min="12562" max="12562" width="11.875" style="459" bestFit="1" customWidth="1"/>
    <col min="12563" max="12800" width="9" style="459"/>
    <col min="12801" max="12801" width="6.125" style="459" customWidth="1"/>
    <col min="12802" max="12802" width="12" style="459" customWidth="1"/>
    <col min="12803" max="12803" width="13.5" style="459" customWidth="1"/>
    <col min="12804" max="12804" width="9.25" style="459" customWidth="1"/>
    <col min="12805" max="12805" width="9.125" style="459" customWidth="1"/>
    <col min="12806" max="12806" width="8.125" style="459" customWidth="1"/>
    <col min="12807" max="12807" width="7.375" style="459" customWidth="1"/>
    <col min="12808" max="12808" width="8.5" style="459" customWidth="1"/>
    <col min="12809" max="12809" width="8.625" style="459" customWidth="1"/>
    <col min="12810" max="12810" width="8.75" style="459" customWidth="1"/>
    <col min="12811" max="12811" width="8" style="459" customWidth="1"/>
    <col min="12812" max="12812" width="8.375" style="459" customWidth="1"/>
    <col min="12813" max="12813" width="8.25" style="459" customWidth="1"/>
    <col min="12814" max="12815" width="9.375" style="459" customWidth="1"/>
    <col min="12816" max="12816" width="12.125" style="459" bestFit="1" customWidth="1"/>
    <col min="12817" max="12817" width="9" style="459"/>
    <col min="12818" max="12818" width="11.875" style="459" bestFit="1" customWidth="1"/>
    <col min="12819" max="13056" width="9" style="459"/>
    <col min="13057" max="13057" width="6.125" style="459" customWidth="1"/>
    <col min="13058" max="13058" width="12" style="459" customWidth="1"/>
    <col min="13059" max="13059" width="13.5" style="459" customWidth="1"/>
    <col min="13060" max="13060" width="9.25" style="459" customWidth="1"/>
    <col min="13061" max="13061" width="9.125" style="459" customWidth="1"/>
    <col min="13062" max="13062" width="8.125" style="459" customWidth="1"/>
    <col min="13063" max="13063" width="7.375" style="459" customWidth="1"/>
    <col min="13064" max="13064" width="8.5" style="459" customWidth="1"/>
    <col min="13065" max="13065" width="8.625" style="459" customWidth="1"/>
    <col min="13066" max="13066" width="8.75" style="459" customWidth="1"/>
    <col min="13067" max="13067" width="8" style="459" customWidth="1"/>
    <col min="13068" max="13068" width="8.375" style="459" customWidth="1"/>
    <col min="13069" max="13069" width="8.25" style="459" customWidth="1"/>
    <col min="13070" max="13071" width="9.375" style="459" customWidth="1"/>
    <col min="13072" max="13072" width="12.125" style="459" bestFit="1" customWidth="1"/>
    <col min="13073" max="13073" width="9" style="459"/>
    <col min="13074" max="13074" width="11.875" style="459" bestFit="1" customWidth="1"/>
    <col min="13075" max="13312" width="9" style="459"/>
    <col min="13313" max="13313" width="6.125" style="459" customWidth="1"/>
    <col min="13314" max="13314" width="12" style="459" customWidth="1"/>
    <col min="13315" max="13315" width="13.5" style="459" customWidth="1"/>
    <col min="13316" max="13316" width="9.25" style="459" customWidth="1"/>
    <col min="13317" max="13317" width="9.125" style="459" customWidth="1"/>
    <col min="13318" max="13318" width="8.125" style="459" customWidth="1"/>
    <col min="13319" max="13319" width="7.375" style="459" customWidth="1"/>
    <col min="13320" max="13320" width="8.5" style="459" customWidth="1"/>
    <col min="13321" max="13321" width="8.625" style="459" customWidth="1"/>
    <col min="13322" max="13322" width="8.75" style="459" customWidth="1"/>
    <col min="13323" max="13323" width="8" style="459" customWidth="1"/>
    <col min="13324" max="13324" width="8.375" style="459" customWidth="1"/>
    <col min="13325" max="13325" width="8.25" style="459" customWidth="1"/>
    <col min="13326" max="13327" width="9.375" style="459" customWidth="1"/>
    <col min="13328" max="13328" width="12.125" style="459" bestFit="1" customWidth="1"/>
    <col min="13329" max="13329" width="9" style="459"/>
    <col min="13330" max="13330" width="11.875" style="459" bestFit="1" customWidth="1"/>
    <col min="13331" max="13568" width="9" style="459"/>
    <col min="13569" max="13569" width="6.125" style="459" customWidth="1"/>
    <col min="13570" max="13570" width="12" style="459" customWidth="1"/>
    <col min="13571" max="13571" width="13.5" style="459" customWidth="1"/>
    <col min="13572" max="13572" width="9.25" style="459" customWidth="1"/>
    <col min="13573" max="13573" width="9.125" style="459" customWidth="1"/>
    <col min="13574" max="13574" width="8.125" style="459" customWidth="1"/>
    <col min="13575" max="13575" width="7.375" style="459" customWidth="1"/>
    <col min="13576" max="13576" width="8.5" style="459" customWidth="1"/>
    <col min="13577" max="13577" width="8.625" style="459" customWidth="1"/>
    <col min="13578" max="13578" width="8.75" style="459" customWidth="1"/>
    <col min="13579" max="13579" width="8" style="459" customWidth="1"/>
    <col min="13580" max="13580" width="8.375" style="459" customWidth="1"/>
    <col min="13581" max="13581" width="8.25" style="459" customWidth="1"/>
    <col min="13582" max="13583" width="9.375" style="459" customWidth="1"/>
    <col min="13584" max="13584" width="12.125" style="459" bestFit="1" customWidth="1"/>
    <col min="13585" max="13585" width="9" style="459"/>
    <col min="13586" max="13586" width="11.875" style="459" bestFit="1" customWidth="1"/>
    <col min="13587" max="13824" width="9" style="459"/>
    <col min="13825" max="13825" width="6.125" style="459" customWidth="1"/>
    <col min="13826" max="13826" width="12" style="459" customWidth="1"/>
    <col min="13827" max="13827" width="13.5" style="459" customWidth="1"/>
    <col min="13828" max="13828" width="9.25" style="459" customWidth="1"/>
    <col min="13829" max="13829" width="9.125" style="459" customWidth="1"/>
    <col min="13830" max="13830" width="8.125" style="459" customWidth="1"/>
    <col min="13831" max="13831" width="7.375" style="459" customWidth="1"/>
    <col min="13832" max="13832" width="8.5" style="459" customWidth="1"/>
    <col min="13833" max="13833" width="8.625" style="459" customWidth="1"/>
    <col min="13834" max="13834" width="8.75" style="459" customWidth="1"/>
    <col min="13835" max="13835" width="8" style="459" customWidth="1"/>
    <col min="13836" max="13836" width="8.375" style="459" customWidth="1"/>
    <col min="13837" max="13837" width="8.25" style="459" customWidth="1"/>
    <col min="13838" max="13839" width="9.375" style="459" customWidth="1"/>
    <col min="13840" max="13840" width="12.125" style="459" bestFit="1" customWidth="1"/>
    <col min="13841" max="13841" width="9" style="459"/>
    <col min="13842" max="13842" width="11.875" style="459" bestFit="1" customWidth="1"/>
    <col min="13843" max="14080" width="9" style="459"/>
    <col min="14081" max="14081" width="6.125" style="459" customWidth="1"/>
    <col min="14082" max="14082" width="12" style="459" customWidth="1"/>
    <col min="14083" max="14083" width="13.5" style="459" customWidth="1"/>
    <col min="14084" max="14084" width="9.25" style="459" customWidth="1"/>
    <col min="14085" max="14085" width="9.125" style="459" customWidth="1"/>
    <col min="14086" max="14086" width="8.125" style="459" customWidth="1"/>
    <col min="14087" max="14087" width="7.375" style="459" customWidth="1"/>
    <col min="14088" max="14088" width="8.5" style="459" customWidth="1"/>
    <col min="14089" max="14089" width="8.625" style="459" customWidth="1"/>
    <col min="14090" max="14090" width="8.75" style="459" customWidth="1"/>
    <col min="14091" max="14091" width="8" style="459" customWidth="1"/>
    <col min="14092" max="14092" width="8.375" style="459" customWidth="1"/>
    <col min="14093" max="14093" width="8.25" style="459" customWidth="1"/>
    <col min="14094" max="14095" width="9.375" style="459" customWidth="1"/>
    <col min="14096" max="14096" width="12.125" style="459" bestFit="1" customWidth="1"/>
    <col min="14097" max="14097" width="9" style="459"/>
    <col min="14098" max="14098" width="11.875" style="459" bestFit="1" customWidth="1"/>
    <col min="14099" max="14336" width="9" style="459"/>
    <col min="14337" max="14337" width="6.125" style="459" customWidth="1"/>
    <col min="14338" max="14338" width="12" style="459" customWidth="1"/>
    <col min="14339" max="14339" width="13.5" style="459" customWidth="1"/>
    <col min="14340" max="14340" width="9.25" style="459" customWidth="1"/>
    <col min="14341" max="14341" width="9.125" style="459" customWidth="1"/>
    <col min="14342" max="14342" width="8.125" style="459" customWidth="1"/>
    <col min="14343" max="14343" width="7.375" style="459" customWidth="1"/>
    <col min="14344" max="14344" width="8.5" style="459" customWidth="1"/>
    <col min="14345" max="14345" width="8.625" style="459" customWidth="1"/>
    <col min="14346" max="14346" width="8.75" style="459" customWidth="1"/>
    <col min="14347" max="14347" width="8" style="459" customWidth="1"/>
    <col min="14348" max="14348" width="8.375" style="459" customWidth="1"/>
    <col min="14349" max="14349" width="8.25" style="459" customWidth="1"/>
    <col min="14350" max="14351" width="9.375" style="459" customWidth="1"/>
    <col min="14352" max="14352" width="12.125" style="459" bestFit="1" customWidth="1"/>
    <col min="14353" max="14353" width="9" style="459"/>
    <col min="14354" max="14354" width="11.875" style="459" bestFit="1" customWidth="1"/>
    <col min="14355" max="14592" width="9" style="459"/>
    <col min="14593" max="14593" width="6.125" style="459" customWidth="1"/>
    <col min="14594" max="14594" width="12" style="459" customWidth="1"/>
    <col min="14595" max="14595" width="13.5" style="459" customWidth="1"/>
    <col min="14596" max="14596" width="9.25" style="459" customWidth="1"/>
    <col min="14597" max="14597" width="9.125" style="459" customWidth="1"/>
    <col min="14598" max="14598" width="8.125" style="459" customWidth="1"/>
    <col min="14599" max="14599" width="7.375" style="459" customWidth="1"/>
    <col min="14600" max="14600" width="8.5" style="459" customWidth="1"/>
    <col min="14601" max="14601" width="8.625" style="459" customWidth="1"/>
    <col min="14602" max="14602" width="8.75" style="459" customWidth="1"/>
    <col min="14603" max="14603" width="8" style="459" customWidth="1"/>
    <col min="14604" max="14604" width="8.375" style="459" customWidth="1"/>
    <col min="14605" max="14605" width="8.25" style="459" customWidth="1"/>
    <col min="14606" max="14607" width="9.375" style="459" customWidth="1"/>
    <col min="14608" max="14608" width="12.125" style="459" bestFit="1" customWidth="1"/>
    <col min="14609" max="14609" width="9" style="459"/>
    <col min="14610" max="14610" width="11.875" style="459" bestFit="1" customWidth="1"/>
    <col min="14611" max="14848" width="9" style="459"/>
    <col min="14849" max="14849" width="6.125" style="459" customWidth="1"/>
    <col min="14850" max="14850" width="12" style="459" customWidth="1"/>
    <col min="14851" max="14851" width="13.5" style="459" customWidth="1"/>
    <col min="14852" max="14852" width="9.25" style="459" customWidth="1"/>
    <col min="14853" max="14853" width="9.125" style="459" customWidth="1"/>
    <col min="14854" max="14854" width="8.125" style="459" customWidth="1"/>
    <col min="14855" max="14855" width="7.375" style="459" customWidth="1"/>
    <col min="14856" max="14856" width="8.5" style="459" customWidth="1"/>
    <col min="14857" max="14857" width="8.625" style="459" customWidth="1"/>
    <col min="14858" max="14858" width="8.75" style="459" customWidth="1"/>
    <col min="14859" max="14859" width="8" style="459" customWidth="1"/>
    <col min="14860" max="14860" width="8.375" style="459" customWidth="1"/>
    <col min="14861" max="14861" width="8.25" style="459" customWidth="1"/>
    <col min="14862" max="14863" width="9.375" style="459" customWidth="1"/>
    <col min="14864" max="14864" width="12.125" style="459" bestFit="1" customWidth="1"/>
    <col min="14865" max="14865" width="9" style="459"/>
    <col min="14866" max="14866" width="11.875" style="459" bestFit="1" customWidth="1"/>
    <col min="14867" max="15104" width="9" style="459"/>
    <col min="15105" max="15105" width="6.125" style="459" customWidth="1"/>
    <col min="15106" max="15106" width="12" style="459" customWidth="1"/>
    <col min="15107" max="15107" width="13.5" style="459" customWidth="1"/>
    <col min="15108" max="15108" width="9.25" style="459" customWidth="1"/>
    <col min="15109" max="15109" width="9.125" style="459" customWidth="1"/>
    <col min="15110" max="15110" width="8.125" style="459" customWidth="1"/>
    <col min="15111" max="15111" width="7.375" style="459" customWidth="1"/>
    <col min="15112" max="15112" width="8.5" style="459" customWidth="1"/>
    <col min="15113" max="15113" width="8.625" style="459" customWidth="1"/>
    <col min="15114" max="15114" width="8.75" style="459" customWidth="1"/>
    <col min="15115" max="15115" width="8" style="459" customWidth="1"/>
    <col min="15116" max="15116" width="8.375" style="459" customWidth="1"/>
    <col min="15117" max="15117" width="8.25" style="459" customWidth="1"/>
    <col min="15118" max="15119" width="9.375" style="459" customWidth="1"/>
    <col min="15120" max="15120" width="12.125" style="459" bestFit="1" customWidth="1"/>
    <col min="15121" max="15121" width="9" style="459"/>
    <col min="15122" max="15122" width="11.875" style="459" bestFit="1" customWidth="1"/>
    <col min="15123" max="15360" width="9" style="459"/>
    <col min="15361" max="15361" width="6.125" style="459" customWidth="1"/>
    <col min="15362" max="15362" width="12" style="459" customWidth="1"/>
    <col min="15363" max="15363" width="13.5" style="459" customWidth="1"/>
    <col min="15364" max="15364" width="9.25" style="459" customWidth="1"/>
    <col min="15365" max="15365" width="9.125" style="459" customWidth="1"/>
    <col min="15366" max="15366" width="8.125" style="459" customWidth="1"/>
    <col min="15367" max="15367" width="7.375" style="459" customWidth="1"/>
    <col min="15368" max="15368" width="8.5" style="459" customWidth="1"/>
    <col min="15369" max="15369" width="8.625" style="459" customWidth="1"/>
    <col min="15370" max="15370" width="8.75" style="459" customWidth="1"/>
    <col min="15371" max="15371" width="8" style="459" customWidth="1"/>
    <col min="15372" max="15372" width="8.375" style="459" customWidth="1"/>
    <col min="15373" max="15373" width="8.25" style="459" customWidth="1"/>
    <col min="15374" max="15375" width="9.375" style="459" customWidth="1"/>
    <col min="15376" max="15376" width="12.125" style="459" bestFit="1" customWidth="1"/>
    <col min="15377" max="15377" width="9" style="459"/>
    <col min="15378" max="15378" width="11.875" style="459" bestFit="1" customWidth="1"/>
    <col min="15379" max="15616" width="9" style="459"/>
    <col min="15617" max="15617" width="6.125" style="459" customWidth="1"/>
    <col min="15618" max="15618" width="12" style="459" customWidth="1"/>
    <col min="15619" max="15619" width="13.5" style="459" customWidth="1"/>
    <col min="15620" max="15620" width="9.25" style="459" customWidth="1"/>
    <col min="15621" max="15621" width="9.125" style="459" customWidth="1"/>
    <col min="15622" max="15622" width="8.125" style="459" customWidth="1"/>
    <col min="15623" max="15623" width="7.375" style="459" customWidth="1"/>
    <col min="15624" max="15624" width="8.5" style="459" customWidth="1"/>
    <col min="15625" max="15625" width="8.625" style="459" customWidth="1"/>
    <col min="15626" max="15626" width="8.75" style="459" customWidth="1"/>
    <col min="15627" max="15627" width="8" style="459" customWidth="1"/>
    <col min="15628" max="15628" width="8.375" style="459" customWidth="1"/>
    <col min="15629" max="15629" width="8.25" style="459" customWidth="1"/>
    <col min="15630" max="15631" width="9.375" style="459" customWidth="1"/>
    <col min="15632" max="15632" width="12.125" style="459" bestFit="1" customWidth="1"/>
    <col min="15633" max="15633" width="9" style="459"/>
    <col min="15634" max="15634" width="11.875" style="459" bestFit="1" customWidth="1"/>
    <col min="15635" max="15872" width="9" style="459"/>
    <col min="15873" max="15873" width="6.125" style="459" customWidth="1"/>
    <col min="15874" max="15874" width="12" style="459" customWidth="1"/>
    <col min="15875" max="15875" width="13.5" style="459" customWidth="1"/>
    <col min="15876" max="15876" width="9.25" style="459" customWidth="1"/>
    <col min="15877" max="15877" width="9.125" style="459" customWidth="1"/>
    <col min="15878" max="15878" width="8.125" style="459" customWidth="1"/>
    <col min="15879" max="15879" width="7.375" style="459" customWidth="1"/>
    <col min="15880" max="15880" width="8.5" style="459" customWidth="1"/>
    <col min="15881" max="15881" width="8.625" style="459" customWidth="1"/>
    <col min="15882" max="15882" width="8.75" style="459" customWidth="1"/>
    <col min="15883" max="15883" width="8" style="459" customWidth="1"/>
    <col min="15884" max="15884" width="8.375" style="459" customWidth="1"/>
    <col min="15885" max="15885" width="8.25" style="459" customWidth="1"/>
    <col min="15886" max="15887" width="9.375" style="459" customWidth="1"/>
    <col min="15888" max="15888" width="12.125" style="459" bestFit="1" customWidth="1"/>
    <col min="15889" max="15889" width="9" style="459"/>
    <col min="15890" max="15890" width="11.875" style="459" bestFit="1" customWidth="1"/>
    <col min="15891" max="16128" width="9" style="459"/>
    <col min="16129" max="16129" width="6.125" style="459" customWidth="1"/>
    <col min="16130" max="16130" width="12" style="459" customWidth="1"/>
    <col min="16131" max="16131" width="13.5" style="459" customWidth="1"/>
    <col min="16132" max="16132" width="9.25" style="459" customWidth="1"/>
    <col min="16133" max="16133" width="9.125" style="459" customWidth="1"/>
    <col min="16134" max="16134" width="8.125" style="459" customWidth="1"/>
    <col min="16135" max="16135" width="7.375" style="459" customWidth="1"/>
    <col min="16136" max="16136" width="8.5" style="459" customWidth="1"/>
    <col min="16137" max="16137" width="8.625" style="459" customWidth="1"/>
    <col min="16138" max="16138" width="8.75" style="459" customWidth="1"/>
    <col min="16139" max="16139" width="8" style="459" customWidth="1"/>
    <col min="16140" max="16140" width="8.375" style="459" customWidth="1"/>
    <col min="16141" max="16141" width="8.25" style="459" customWidth="1"/>
    <col min="16142" max="16143" width="9.375" style="459" customWidth="1"/>
    <col min="16144" max="16144" width="12.125" style="459" bestFit="1" customWidth="1"/>
    <col min="16145" max="16145" width="9" style="459"/>
    <col min="16146" max="16146" width="11.875" style="459" bestFit="1" customWidth="1"/>
    <col min="16147" max="16384" width="9" style="459"/>
  </cols>
  <sheetData>
    <row r="1" spans="1:19" ht="24" customHeight="1">
      <c r="B1" s="787" t="s">
        <v>288</v>
      </c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  <c r="O1" s="787"/>
    </row>
    <row r="2" spans="1:19" ht="24" customHeight="1">
      <c r="B2" s="787" t="s">
        <v>95</v>
      </c>
      <c r="C2" s="787"/>
      <c r="D2" s="787"/>
      <c r="E2" s="787"/>
      <c r="F2" s="787"/>
      <c r="G2" s="787"/>
      <c r="H2" s="787"/>
      <c r="I2" s="787"/>
      <c r="J2" s="787"/>
      <c r="K2" s="787"/>
      <c r="L2" s="787"/>
      <c r="M2" s="787"/>
      <c r="N2" s="787"/>
      <c r="O2" s="787"/>
    </row>
    <row r="3" spans="1:19" ht="24" customHeight="1">
      <c r="B3" s="787" t="s">
        <v>1186</v>
      </c>
      <c r="C3" s="787"/>
      <c r="D3" s="787"/>
      <c r="E3" s="787"/>
      <c r="F3" s="787"/>
      <c r="G3" s="787"/>
      <c r="H3" s="787"/>
      <c r="I3" s="787"/>
      <c r="J3" s="787"/>
      <c r="K3" s="787"/>
      <c r="L3" s="787"/>
      <c r="M3" s="787"/>
      <c r="N3" s="787"/>
      <c r="O3" s="787"/>
    </row>
    <row r="4" spans="1:19" ht="24" customHeight="1"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</row>
    <row r="5" spans="1:19" ht="21" customHeight="1">
      <c r="A5" s="788" t="s">
        <v>65</v>
      </c>
      <c r="B5" s="785" t="s">
        <v>50</v>
      </c>
      <c r="C5" s="785" t="s">
        <v>39</v>
      </c>
      <c r="D5" s="785" t="s">
        <v>66</v>
      </c>
      <c r="E5" s="785" t="s">
        <v>97</v>
      </c>
      <c r="F5" s="785" t="s">
        <v>98</v>
      </c>
      <c r="G5" s="785" t="s">
        <v>99</v>
      </c>
      <c r="H5" s="785" t="s">
        <v>100</v>
      </c>
      <c r="I5" s="785" t="s">
        <v>101</v>
      </c>
      <c r="J5" s="785" t="s">
        <v>102</v>
      </c>
      <c r="K5" s="785" t="s">
        <v>103</v>
      </c>
      <c r="L5" s="785" t="s">
        <v>104</v>
      </c>
      <c r="M5" s="785" t="s">
        <v>105</v>
      </c>
      <c r="N5" s="785" t="s">
        <v>67</v>
      </c>
      <c r="O5" s="785" t="s">
        <v>35</v>
      </c>
    </row>
    <row r="6" spans="1:19" ht="67.5" customHeight="1">
      <c r="A6" s="789"/>
      <c r="B6" s="786"/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</row>
    <row r="7" spans="1:19" ht="24" customHeight="1">
      <c r="A7" s="448" t="s">
        <v>96</v>
      </c>
      <c r="B7" s="448"/>
      <c r="C7" s="448"/>
      <c r="D7" s="448"/>
      <c r="E7" s="449"/>
      <c r="F7" s="449"/>
      <c r="G7" s="449"/>
      <c r="H7" s="449"/>
      <c r="I7" s="449"/>
      <c r="J7" s="449"/>
      <c r="K7" s="449"/>
      <c r="L7" s="449"/>
      <c r="M7" s="449"/>
      <c r="N7" s="450"/>
      <c r="O7" s="450"/>
      <c r="P7" s="451"/>
      <c r="Q7" s="451"/>
      <c r="R7" s="452"/>
      <c r="S7" s="452"/>
    </row>
    <row r="8" spans="1:19">
      <c r="A8" s="449" t="s">
        <v>67</v>
      </c>
      <c r="B8" s="449" t="s">
        <v>266</v>
      </c>
      <c r="C8" s="449" t="s">
        <v>289</v>
      </c>
      <c r="D8" s="453">
        <v>15110400</v>
      </c>
      <c r="E8" s="453"/>
      <c r="F8" s="453"/>
      <c r="G8" s="453">
        <v>0</v>
      </c>
      <c r="H8" s="453">
        <v>0</v>
      </c>
      <c r="I8" s="453">
        <v>0</v>
      </c>
      <c r="J8" s="453">
        <v>0</v>
      </c>
      <c r="K8" s="453">
        <v>0</v>
      </c>
      <c r="L8" s="453">
        <v>0</v>
      </c>
      <c r="M8" s="453">
        <v>0</v>
      </c>
      <c r="N8" s="453">
        <v>14842876.449999999</v>
      </c>
      <c r="O8" s="454">
        <f t="shared" ref="O8:O19" si="0">SUM(E8:N8)</f>
        <v>14842876.449999999</v>
      </c>
      <c r="P8" s="455"/>
      <c r="Q8" s="455"/>
      <c r="R8" s="455"/>
      <c r="S8" s="455"/>
    </row>
    <row r="9" spans="1:19">
      <c r="A9" s="449" t="s">
        <v>69</v>
      </c>
      <c r="B9" s="449" t="s">
        <v>268</v>
      </c>
      <c r="C9" s="449" t="s">
        <v>289</v>
      </c>
      <c r="D9" s="453">
        <v>3119320</v>
      </c>
      <c r="E9" s="453">
        <v>2836800</v>
      </c>
      <c r="F9" s="453"/>
      <c r="G9" s="453"/>
      <c r="H9" s="453">
        <v>0</v>
      </c>
      <c r="I9" s="453">
        <v>0</v>
      </c>
      <c r="J9" s="453">
        <v>0</v>
      </c>
      <c r="K9" s="453">
        <v>0</v>
      </c>
      <c r="L9" s="453">
        <v>0</v>
      </c>
      <c r="M9" s="453">
        <v>0</v>
      </c>
      <c r="N9" s="453"/>
      <c r="O9" s="454">
        <f t="shared" si="0"/>
        <v>2836800</v>
      </c>
      <c r="P9" s="455"/>
      <c r="Q9" s="455"/>
      <c r="R9" s="455"/>
      <c r="S9" s="455"/>
    </row>
    <row r="10" spans="1:19">
      <c r="A10" s="449"/>
      <c r="B10" s="449" t="s">
        <v>269</v>
      </c>
      <c r="C10" s="449" t="s">
        <v>289</v>
      </c>
      <c r="D10" s="453">
        <v>11201520</v>
      </c>
      <c r="E10" s="453">
        <v>4853929</v>
      </c>
      <c r="F10" s="453"/>
      <c r="G10" s="453">
        <v>2410440</v>
      </c>
      <c r="H10" s="453">
        <v>380880</v>
      </c>
      <c r="I10" s="453">
        <v>972840</v>
      </c>
      <c r="J10" s="453">
        <v>1209420</v>
      </c>
      <c r="K10" s="453">
        <v>0</v>
      </c>
      <c r="L10" s="453">
        <v>0</v>
      </c>
      <c r="M10" s="453">
        <v>159420</v>
      </c>
      <c r="N10" s="453"/>
      <c r="O10" s="454">
        <f t="shared" si="0"/>
        <v>9986929</v>
      </c>
      <c r="P10" s="455"/>
      <c r="Q10" s="455"/>
      <c r="R10" s="455"/>
      <c r="S10" s="455"/>
    </row>
    <row r="11" spans="1:19">
      <c r="A11" s="449" t="s">
        <v>70</v>
      </c>
      <c r="B11" s="449" t="s">
        <v>270</v>
      </c>
      <c r="C11" s="456" t="s">
        <v>289</v>
      </c>
      <c r="D11" s="453">
        <v>938840</v>
      </c>
      <c r="E11" s="453">
        <v>303700</v>
      </c>
      <c r="F11" s="453">
        <v>42000</v>
      </c>
      <c r="G11" s="453">
        <v>32200</v>
      </c>
      <c r="H11" s="453">
        <v>0</v>
      </c>
      <c r="I11" s="453">
        <v>42000</v>
      </c>
      <c r="J11" s="453">
        <v>36500</v>
      </c>
      <c r="K11" s="453">
        <v>0</v>
      </c>
      <c r="L11" s="453">
        <v>0</v>
      </c>
      <c r="M11" s="453">
        <v>0</v>
      </c>
      <c r="N11" s="453"/>
      <c r="O11" s="454">
        <f t="shared" si="0"/>
        <v>456400</v>
      </c>
      <c r="P11" s="455"/>
      <c r="Q11" s="455"/>
      <c r="R11" s="455"/>
      <c r="S11" s="455"/>
    </row>
    <row r="12" spans="1:19">
      <c r="A12" s="449"/>
      <c r="B12" s="449" t="s">
        <v>271</v>
      </c>
      <c r="C12" s="449" t="s">
        <v>289</v>
      </c>
      <c r="D12" s="453">
        <v>4364467</v>
      </c>
      <c r="E12" s="453">
        <v>1202416</v>
      </c>
      <c r="F12" s="453">
        <v>40287.800000000003</v>
      </c>
      <c r="G12" s="453">
        <v>869466</v>
      </c>
      <c r="H12" s="453">
        <v>90088</v>
      </c>
      <c r="I12" s="453">
        <v>0</v>
      </c>
      <c r="J12" s="453">
        <v>264274</v>
      </c>
      <c r="K12" s="453">
        <v>107225</v>
      </c>
      <c r="L12" s="453">
        <v>42310</v>
      </c>
      <c r="M12" s="453">
        <v>37556</v>
      </c>
      <c r="N12" s="453"/>
      <c r="O12" s="454">
        <f t="shared" si="0"/>
        <v>2653622.7999999998</v>
      </c>
      <c r="P12" s="455"/>
      <c r="Q12" s="455"/>
      <c r="R12" s="455"/>
      <c r="S12" s="455"/>
    </row>
    <row r="13" spans="1:19">
      <c r="A13" s="449"/>
      <c r="B13" s="449" t="s">
        <v>272</v>
      </c>
      <c r="C13" s="449" t="s">
        <v>289</v>
      </c>
      <c r="D13" s="453">
        <v>1743008</v>
      </c>
      <c r="E13" s="453">
        <v>371741</v>
      </c>
      <c r="F13" s="453">
        <v>5500</v>
      </c>
      <c r="G13" s="453">
        <v>824548.52</v>
      </c>
      <c r="H13" s="453">
        <v>49790</v>
      </c>
      <c r="I13" s="453">
        <v>0</v>
      </c>
      <c r="J13" s="453">
        <v>127734</v>
      </c>
      <c r="K13" s="453">
        <v>0</v>
      </c>
      <c r="L13" s="453">
        <v>0</v>
      </c>
      <c r="M13" s="453">
        <v>10000</v>
      </c>
      <c r="N13" s="453"/>
      <c r="O13" s="454">
        <f t="shared" si="0"/>
        <v>1389313.52</v>
      </c>
      <c r="P13" s="455"/>
      <c r="Q13" s="455"/>
      <c r="R13" s="455"/>
      <c r="S13" s="455"/>
    </row>
    <row r="14" spans="1:19">
      <c r="A14" s="449"/>
      <c r="B14" s="449" t="s">
        <v>74</v>
      </c>
      <c r="C14" s="449" t="s">
        <v>289</v>
      </c>
      <c r="D14" s="453">
        <v>495000</v>
      </c>
      <c r="E14" s="453">
        <v>346352.61</v>
      </c>
      <c r="F14" s="453"/>
      <c r="G14" s="453">
        <v>23383.39</v>
      </c>
      <c r="H14" s="453">
        <v>0</v>
      </c>
      <c r="I14" s="453">
        <v>0</v>
      </c>
      <c r="J14" s="453">
        <v>0</v>
      </c>
      <c r="K14" s="453">
        <v>0</v>
      </c>
      <c r="L14" s="453">
        <v>0</v>
      </c>
      <c r="M14" s="453">
        <v>0</v>
      </c>
      <c r="N14" s="453"/>
      <c r="O14" s="454">
        <f t="shared" si="0"/>
        <v>369736</v>
      </c>
      <c r="P14" s="455"/>
      <c r="Q14" s="455"/>
      <c r="R14" s="455"/>
      <c r="S14" s="455"/>
    </row>
    <row r="15" spans="1:19">
      <c r="A15" s="449" t="s">
        <v>75</v>
      </c>
      <c r="B15" s="449" t="s">
        <v>273</v>
      </c>
      <c r="C15" s="449" t="s">
        <v>289</v>
      </c>
      <c r="D15" s="453">
        <v>197100</v>
      </c>
      <c r="E15" s="453">
        <v>57300</v>
      </c>
      <c r="F15" s="453">
        <v>7500</v>
      </c>
      <c r="G15" s="453">
        <v>68400</v>
      </c>
      <c r="H15" s="453">
        <v>7000</v>
      </c>
      <c r="I15" s="453">
        <v>38300</v>
      </c>
      <c r="J15" s="453">
        <v>40500</v>
      </c>
      <c r="K15" s="453">
        <v>0</v>
      </c>
      <c r="L15" s="453">
        <v>0</v>
      </c>
      <c r="M15" s="453">
        <v>8000</v>
      </c>
      <c r="N15" s="453"/>
      <c r="O15" s="454">
        <f t="shared" si="0"/>
        <v>227000</v>
      </c>
      <c r="P15" s="455"/>
      <c r="Q15" s="455"/>
      <c r="R15" s="455"/>
      <c r="S15" s="455"/>
    </row>
    <row r="16" spans="1:19">
      <c r="A16" s="449"/>
      <c r="B16" s="449" t="s">
        <v>274</v>
      </c>
      <c r="C16" s="449" t="s">
        <v>289</v>
      </c>
      <c r="D16" s="453">
        <v>4164945</v>
      </c>
      <c r="E16" s="453">
        <v>0</v>
      </c>
      <c r="F16" s="453"/>
      <c r="G16" s="453">
        <v>153600</v>
      </c>
      <c r="H16" s="453">
        <v>0</v>
      </c>
      <c r="I16" s="453">
        <v>0</v>
      </c>
      <c r="J16" s="453">
        <v>2903000</v>
      </c>
      <c r="K16" s="453">
        <v>0</v>
      </c>
      <c r="L16" s="453">
        <v>0</v>
      </c>
      <c r="M16" s="453">
        <v>655000</v>
      </c>
      <c r="N16" s="453"/>
      <c r="O16" s="453">
        <f t="shared" si="0"/>
        <v>3711600</v>
      </c>
      <c r="P16" s="455"/>
      <c r="Q16" s="455"/>
    </row>
    <row r="17" spans="1:19">
      <c r="A17" s="449" t="s">
        <v>78</v>
      </c>
      <c r="B17" s="449" t="s">
        <v>79</v>
      </c>
      <c r="C17" s="449" t="s">
        <v>289</v>
      </c>
      <c r="D17" s="453">
        <v>0</v>
      </c>
      <c r="E17" s="453">
        <v>0</v>
      </c>
      <c r="F17" s="453"/>
      <c r="G17" s="453">
        <v>0</v>
      </c>
      <c r="H17" s="453">
        <v>0</v>
      </c>
      <c r="I17" s="453">
        <v>0</v>
      </c>
      <c r="J17" s="453">
        <v>0</v>
      </c>
      <c r="K17" s="453">
        <v>0</v>
      </c>
      <c r="L17" s="453">
        <v>0</v>
      </c>
      <c r="M17" s="453">
        <v>0</v>
      </c>
      <c r="N17" s="453"/>
      <c r="O17" s="454">
        <f t="shared" si="0"/>
        <v>0</v>
      </c>
      <c r="P17" s="455"/>
      <c r="Q17" s="455"/>
      <c r="R17" s="455"/>
      <c r="S17" s="455"/>
    </row>
    <row r="18" spans="1:19">
      <c r="A18" s="449" t="s">
        <v>80</v>
      </c>
      <c r="B18" s="449" t="s">
        <v>275</v>
      </c>
      <c r="C18" s="449" t="s">
        <v>289</v>
      </c>
      <c r="D18" s="453">
        <v>1933000</v>
      </c>
      <c r="E18" s="453">
        <v>0</v>
      </c>
      <c r="F18" s="453"/>
      <c r="G18" s="453">
        <v>1466000</v>
      </c>
      <c r="H18" s="453">
        <v>340000</v>
      </c>
      <c r="I18" s="453">
        <v>0</v>
      </c>
      <c r="J18" s="453">
        <v>0</v>
      </c>
      <c r="K18" s="453">
        <v>25000</v>
      </c>
      <c r="L18" s="453">
        <v>0</v>
      </c>
      <c r="M18" s="453">
        <v>0</v>
      </c>
      <c r="N18" s="453"/>
      <c r="O18" s="454">
        <f t="shared" si="0"/>
        <v>1831000</v>
      </c>
      <c r="P18" s="455"/>
      <c r="Q18" s="455"/>
      <c r="R18" s="455"/>
      <c r="S18" s="455"/>
    </row>
    <row r="19" spans="1:19">
      <c r="A19" s="781" t="s">
        <v>35</v>
      </c>
      <c r="B19" s="782"/>
      <c r="C19" s="783"/>
      <c r="D19" s="457">
        <v>43267600</v>
      </c>
      <c r="E19" s="457">
        <v>9972238.6099999994</v>
      </c>
      <c r="F19" s="457">
        <v>95287.8</v>
      </c>
      <c r="G19" s="457">
        <v>5848037.9100000001</v>
      </c>
      <c r="H19" s="457">
        <v>867758</v>
      </c>
      <c r="I19" s="457">
        <v>1053140</v>
      </c>
      <c r="J19" s="457">
        <v>4581428</v>
      </c>
      <c r="K19" s="457">
        <v>132225</v>
      </c>
      <c r="L19" s="457">
        <v>42310</v>
      </c>
      <c r="M19" s="457">
        <v>869976</v>
      </c>
      <c r="N19" s="457">
        <v>14842876.449999999</v>
      </c>
      <c r="O19" s="457">
        <f t="shared" si="0"/>
        <v>38305277.769999996</v>
      </c>
      <c r="P19" s="455"/>
      <c r="Q19" s="455"/>
    </row>
    <row r="20" spans="1:19" ht="14.25" customHeight="1">
      <c r="B20" s="458"/>
      <c r="C20" s="458"/>
      <c r="D20" s="458"/>
      <c r="E20" s="455"/>
      <c r="F20" s="455"/>
      <c r="G20" s="455"/>
      <c r="H20" s="455"/>
      <c r="I20" s="455"/>
      <c r="J20" s="455"/>
      <c r="K20" s="455"/>
      <c r="L20" s="455"/>
      <c r="M20" s="455"/>
    </row>
    <row r="21" spans="1:19" ht="14.25" customHeight="1">
      <c r="A21" s="784"/>
      <c r="B21" s="784"/>
      <c r="C21" s="784"/>
      <c r="D21" s="784"/>
      <c r="E21" s="784"/>
      <c r="F21" s="784"/>
      <c r="G21" s="784"/>
      <c r="H21" s="784"/>
      <c r="I21" s="784"/>
      <c r="J21" s="784"/>
      <c r="K21" s="784"/>
      <c r="L21" s="784"/>
      <c r="M21" s="784"/>
      <c r="N21" s="784"/>
      <c r="O21" s="784"/>
    </row>
    <row r="22" spans="1:19" s="589" customFormat="1">
      <c r="A22" s="589" t="s">
        <v>64</v>
      </c>
      <c r="E22" s="590"/>
      <c r="F22" s="590"/>
      <c r="G22" s="590"/>
      <c r="H22" s="590"/>
      <c r="I22" s="590"/>
      <c r="J22" s="590"/>
      <c r="K22" s="590"/>
      <c r="L22" s="590"/>
      <c r="M22" s="590"/>
      <c r="N22" s="590"/>
      <c r="O22" s="590"/>
      <c r="P22" s="590"/>
    </row>
    <row r="30" spans="1:19">
      <c r="G30" s="455"/>
    </row>
    <row r="31" spans="1:19">
      <c r="G31" s="455"/>
    </row>
  </sheetData>
  <mergeCells count="20">
    <mergeCell ref="B1:O1"/>
    <mergeCell ref="B2:O2"/>
    <mergeCell ref="B3:O3"/>
    <mergeCell ref="A5:A6"/>
    <mergeCell ref="B5:B6"/>
    <mergeCell ref="C5:C6"/>
    <mergeCell ref="E5:E6"/>
    <mergeCell ref="G5:G6"/>
    <mergeCell ref="H5:H6"/>
    <mergeCell ref="N5:N6"/>
    <mergeCell ref="O5:O6"/>
    <mergeCell ref="A19:C19"/>
    <mergeCell ref="A21:O21"/>
    <mergeCell ref="F5:F6"/>
    <mergeCell ref="I5:I6"/>
    <mergeCell ref="J5:J6"/>
    <mergeCell ref="K5:K6"/>
    <mergeCell ref="L5:L6"/>
    <mergeCell ref="M5:M6"/>
    <mergeCell ref="D5:D6"/>
  </mergeCells>
  <pageMargins left="0.19685039370078741" right="0.19685039370078741" top="0.35433070866141736" bottom="0.31496062992125984" header="0.31496062992125984" footer="0.31496062992125984"/>
  <pageSetup paperSize="9" scale="78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P16" sqref="P16"/>
    </sheetView>
  </sheetViews>
  <sheetFormatPr defaultRowHeight="21"/>
  <cols>
    <col min="1" max="1" width="15" style="293" customWidth="1"/>
    <col min="2" max="2" width="21" style="293" customWidth="1"/>
    <col min="3" max="3" width="10.75" style="321" customWidth="1"/>
    <col min="4" max="4" width="10.375" style="321" customWidth="1"/>
    <col min="5" max="5" width="10.625" style="321" customWidth="1"/>
    <col min="6" max="7" width="10.375" style="321" customWidth="1"/>
    <col min="8" max="8" width="13.625" style="321" customWidth="1"/>
    <col min="9" max="9" width="12.75" style="321" customWidth="1"/>
    <col min="10" max="10" width="11.375" style="321" customWidth="1"/>
    <col min="11" max="11" width="11.125" style="321" customWidth="1"/>
    <col min="12" max="12" width="11.875" style="321" customWidth="1"/>
    <col min="13" max="13" width="14.5" style="321" customWidth="1"/>
    <col min="14" max="16384" width="9" style="293"/>
  </cols>
  <sheetData>
    <row r="1" spans="1:13">
      <c r="A1" s="790" t="str">
        <f>งบแสดงฐานะ!A1</f>
        <v>องค์การบริหารส่วนตำบลบ้านกอก  อำเภอจัตุรัส  จังหวัดชัยภูมิ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790"/>
    </row>
    <row r="2" spans="1:13">
      <c r="A2" s="790" t="s">
        <v>106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</row>
    <row r="3" spans="1:13">
      <c r="A3" s="790" t="s">
        <v>1104</v>
      </c>
      <c r="B3" s="790"/>
      <c r="C3" s="790"/>
      <c r="D3" s="790"/>
      <c r="E3" s="790"/>
      <c r="F3" s="790"/>
      <c r="G3" s="790"/>
      <c r="H3" s="790"/>
      <c r="I3" s="790"/>
      <c r="J3" s="790"/>
      <c r="K3" s="790"/>
      <c r="L3" s="790"/>
      <c r="M3" s="790"/>
    </row>
    <row r="4" spans="1:13">
      <c r="A4" s="793" t="s">
        <v>65</v>
      </c>
      <c r="B4" s="793" t="s">
        <v>50</v>
      </c>
      <c r="C4" s="794" t="s">
        <v>48</v>
      </c>
      <c r="D4" s="795"/>
      <c r="E4" s="795"/>
      <c r="F4" s="795"/>
      <c r="G4" s="795"/>
      <c r="H4" s="795"/>
      <c r="I4" s="795"/>
      <c r="J4" s="795"/>
      <c r="K4" s="795"/>
      <c r="L4" s="795"/>
      <c r="M4" s="796"/>
    </row>
    <row r="5" spans="1:13" ht="84">
      <c r="A5" s="793"/>
      <c r="B5" s="793"/>
      <c r="C5" s="591" t="s">
        <v>97</v>
      </c>
      <c r="D5" s="591" t="s">
        <v>98</v>
      </c>
      <c r="E5" s="591" t="s">
        <v>99</v>
      </c>
      <c r="F5" s="591" t="s">
        <v>100</v>
      </c>
      <c r="G5" s="591" t="s">
        <v>101</v>
      </c>
      <c r="H5" s="591" t="s">
        <v>102</v>
      </c>
      <c r="I5" s="591" t="s">
        <v>103</v>
      </c>
      <c r="J5" s="591" t="s">
        <v>104</v>
      </c>
      <c r="K5" s="591" t="s">
        <v>105</v>
      </c>
      <c r="L5" s="591" t="s">
        <v>67</v>
      </c>
      <c r="M5" s="591" t="s">
        <v>35</v>
      </c>
    </row>
    <row r="6" spans="1:13">
      <c r="A6" s="592" t="s">
        <v>96</v>
      </c>
      <c r="B6" s="593"/>
      <c r="C6" s="594"/>
      <c r="D6" s="595"/>
      <c r="E6" s="595"/>
      <c r="F6" s="595"/>
      <c r="G6" s="595"/>
      <c r="H6" s="595"/>
      <c r="I6" s="595"/>
      <c r="J6" s="595"/>
      <c r="K6" s="595"/>
      <c r="L6" s="595"/>
      <c r="M6" s="595"/>
    </row>
    <row r="7" spans="1:13">
      <c r="A7" s="596" t="s">
        <v>69</v>
      </c>
      <c r="B7" s="596" t="s">
        <v>121</v>
      </c>
      <c r="C7" s="597"/>
      <c r="D7" s="598"/>
      <c r="E7" s="598"/>
      <c r="F7" s="598"/>
      <c r="G7" s="598"/>
      <c r="H7" s="598"/>
      <c r="I7" s="598"/>
      <c r="J7" s="598"/>
      <c r="K7" s="598"/>
      <c r="L7" s="598"/>
      <c r="M7" s="598">
        <f>SUM(C7:L7)</f>
        <v>0</v>
      </c>
    </row>
    <row r="8" spans="1:13">
      <c r="A8" s="599"/>
      <c r="B8" s="599" t="s">
        <v>122</v>
      </c>
      <c r="C8" s="600"/>
      <c r="D8" s="600"/>
      <c r="E8" s="600"/>
      <c r="F8" s="600"/>
      <c r="G8" s="600"/>
      <c r="H8" s="600"/>
      <c r="I8" s="600"/>
      <c r="J8" s="600"/>
      <c r="K8" s="600"/>
      <c r="L8" s="600"/>
      <c r="M8" s="598">
        <f t="shared" ref="M8:M17" si="0">SUM(C8:L8)</f>
        <v>0</v>
      </c>
    </row>
    <row r="9" spans="1:13">
      <c r="A9" s="599" t="s">
        <v>70</v>
      </c>
      <c r="B9" s="599" t="s">
        <v>71</v>
      </c>
      <c r="C9" s="600"/>
      <c r="D9" s="600"/>
      <c r="E9" s="600"/>
      <c r="F9" s="600"/>
      <c r="G9" s="600"/>
      <c r="H9" s="600"/>
      <c r="I9" s="600"/>
      <c r="J9" s="600"/>
      <c r="K9" s="600"/>
      <c r="L9" s="600"/>
      <c r="M9" s="598">
        <f t="shared" si="0"/>
        <v>0</v>
      </c>
    </row>
    <row r="10" spans="1:13">
      <c r="A10" s="599"/>
      <c r="B10" s="599" t="s">
        <v>72</v>
      </c>
      <c r="C10" s="600"/>
      <c r="D10" s="600"/>
      <c r="E10" s="600"/>
      <c r="F10" s="600"/>
      <c r="G10" s="600"/>
      <c r="H10" s="600"/>
      <c r="I10" s="600"/>
      <c r="J10" s="600"/>
      <c r="K10" s="600"/>
      <c r="L10" s="600"/>
      <c r="M10" s="598">
        <f t="shared" si="0"/>
        <v>0</v>
      </c>
    </row>
    <row r="11" spans="1:13">
      <c r="A11" s="599"/>
      <c r="B11" s="599" t="s">
        <v>73</v>
      </c>
      <c r="C11" s="600"/>
      <c r="D11" s="600"/>
      <c r="E11" s="600"/>
      <c r="F11" s="600"/>
      <c r="G11" s="600"/>
      <c r="H11" s="600"/>
      <c r="I11" s="600"/>
      <c r="J11" s="600"/>
      <c r="K11" s="600"/>
      <c r="L11" s="600"/>
      <c r="M11" s="598">
        <f t="shared" si="0"/>
        <v>0</v>
      </c>
    </row>
    <row r="12" spans="1:13">
      <c r="A12" s="599"/>
      <c r="B12" s="599" t="s">
        <v>74</v>
      </c>
      <c r="C12" s="600"/>
      <c r="D12" s="600"/>
      <c r="E12" s="600"/>
      <c r="F12" s="600"/>
      <c r="G12" s="600"/>
      <c r="H12" s="600"/>
      <c r="I12" s="600"/>
      <c r="J12" s="600"/>
      <c r="K12" s="600"/>
      <c r="L12" s="600"/>
      <c r="M12" s="598">
        <f t="shared" si="0"/>
        <v>0</v>
      </c>
    </row>
    <row r="13" spans="1:13">
      <c r="A13" s="599" t="s">
        <v>75</v>
      </c>
      <c r="B13" s="599" t="s">
        <v>76</v>
      </c>
      <c r="C13" s="600"/>
      <c r="D13" s="600"/>
      <c r="E13" s="600"/>
      <c r="F13" s="600"/>
      <c r="G13" s="600"/>
      <c r="H13" s="600"/>
      <c r="I13" s="600"/>
      <c r="J13" s="600"/>
      <c r="K13" s="600"/>
      <c r="L13" s="600"/>
      <c r="M13" s="598">
        <f t="shared" si="0"/>
        <v>0</v>
      </c>
    </row>
    <row r="14" spans="1:13">
      <c r="A14" s="599"/>
      <c r="B14" s="599" t="s">
        <v>77</v>
      </c>
      <c r="C14" s="600"/>
      <c r="D14" s="600"/>
      <c r="E14" s="600"/>
      <c r="F14" s="600"/>
      <c r="G14" s="600"/>
      <c r="H14" s="600">
        <v>1908900</v>
      </c>
      <c r="I14" s="600"/>
      <c r="J14" s="600"/>
      <c r="K14" s="600">
        <v>599600</v>
      </c>
      <c r="L14" s="600"/>
      <c r="M14" s="598">
        <f t="shared" si="0"/>
        <v>2508500</v>
      </c>
    </row>
    <row r="15" spans="1:13">
      <c r="A15" s="599" t="s">
        <v>78</v>
      </c>
      <c r="B15" s="599" t="s">
        <v>79</v>
      </c>
      <c r="C15" s="600"/>
      <c r="D15" s="600"/>
      <c r="E15" s="600"/>
      <c r="F15" s="600"/>
      <c r="G15" s="600"/>
      <c r="H15" s="600"/>
      <c r="I15" s="600"/>
      <c r="J15" s="600"/>
      <c r="K15" s="600"/>
      <c r="L15" s="600"/>
      <c r="M15" s="598">
        <f t="shared" si="0"/>
        <v>0</v>
      </c>
    </row>
    <row r="16" spans="1:13">
      <c r="A16" s="599" t="s">
        <v>80</v>
      </c>
      <c r="B16" s="599" t="s">
        <v>81</v>
      </c>
      <c r="C16" s="600"/>
      <c r="D16" s="600"/>
      <c r="E16" s="600"/>
      <c r="F16" s="600"/>
      <c r="G16" s="600"/>
      <c r="H16" s="600"/>
      <c r="I16" s="600"/>
      <c r="J16" s="600"/>
      <c r="K16" s="600"/>
      <c r="L16" s="600"/>
      <c r="M16" s="598">
        <f t="shared" si="0"/>
        <v>0</v>
      </c>
    </row>
    <row r="17" spans="1:13">
      <c r="A17" s="599" t="s">
        <v>67</v>
      </c>
      <c r="B17" s="599" t="s">
        <v>67</v>
      </c>
      <c r="C17" s="600"/>
      <c r="D17" s="600"/>
      <c r="E17" s="600"/>
      <c r="F17" s="600"/>
      <c r="G17" s="600"/>
      <c r="H17" s="600"/>
      <c r="I17" s="600"/>
      <c r="J17" s="600"/>
      <c r="K17" s="600"/>
      <c r="L17" s="600">
        <v>475200</v>
      </c>
      <c r="M17" s="598">
        <f t="shared" si="0"/>
        <v>475200</v>
      </c>
    </row>
    <row r="18" spans="1:13">
      <c r="A18" s="601"/>
      <c r="B18" s="601"/>
      <c r="C18" s="602"/>
      <c r="D18" s="602"/>
      <c r="E18" s="602"/>
      <c r="F18" s="602"/>
      <c r="G18" s="602"/>
      <c r="H18" s="602"/>
      <c r="I18" s="602"/>
      <c r="J18" s="602"/>
      <c r="K18" s="602"/>
      <c r="L18" s="602"/>
      <c r="M18" s="602"/>
    </row>
    <row r="19" spans="1:13" ht="21.75" thickBot="1">
      <c r="A19" s="791" t="s">
        <v>35</v>
      </c>
      <c r="B19" s="792"/>
      <c r="C19" s="603">
        <f>SUM(C7:C17)</f>
        <v>0</v>
      </c>
      <c r="D19" s="603">
        <f t="shared" ref="D19:M19" si="1">SUM(D7:D17)</f>
        <v>0</v>
      </c>
      <c r="E19" s="603">
        <f t="shared" si="1"/>
        <v>0</v>
      </c>
      <c r="F19" s="603">
        <f t="shared" si="1"/>
        <v>0</v>
      </c>
      <c r="G19" s="603">
        <f t="shared" si="1"/>
        <v>0</v>
      </c>
      <c r="H19" s="603">
        <f t="shared" si="1"/>
        <v>1908900</v>
      </c>
      <c r="I19" s="603">
        <f t="shared" si="1"/>
        <v>0</v>
      </c>
      <c r="J19" s="603">
        <f t="shared" si="1"/>
        <v>0</v>
      </c>
      <c r="K19" s="603">
        <f t="shared" si="1"/>
        <v>599600</v>
      </c>
      <c r="L19" s="603">
        <f t="shared" si="1"/>
        <v>475200</v>
      </c>
      <c r="M19" s="603">
        <f t="shared" si="1"/>
        <v>2983700</v>
      </c>
    </row>
    <row r="20" spans="1:13" ht="21.75" thickTop="1"/>
  </sheetData>
  <mergeCells count="7">
    <mergeCell ref="A1:M1"/>
    <mergeCell ref="A2:M2"/>
    <mergeCell ref="A3:M3"/>
    <mergeCell ref="A19:B19"/>
    <mergeCell ref="A4:A5"/>
    <mergeCell ref="B4:B5"/>
    <mergeCell ref="C4:M4"/>
  </mergeCells>
  <pageMargins left="0.5" right="0.19685039370078741" top="0.51181102362204722" bottom="0.47244094488188981" header="0.31496062992125984" footer="0.31496062992125984"/>
  <pageSetup paperSize="9" scale="8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P9" sqref="P9"/>
    </sheetView>
  </sheetViews>
  <sheetFormatPr defaultRowHeight="21"/>
  <cols>
    <col min="1" max="1" width="12.625" style="293" customWidth="1"/>
    <col min="2" max="2" width="22.5" style="293" customWidth="1"/>
    <col min="3" max="3" width="15.375" style="321" customWidth="1"/>
    <col min="4" max="4" width="13.75" style="321" customWidth="1"/>
    <col min="5" max="5" width="12" style="321" customWidth="1"/>
    <col min="6" max="6" width="11.75" style="321" customWidth="1"/>
    <col min="7" max="7" width="11.25" style="321" customWidth="1"/>
    <col min="8" max="8" width="10.125" style="321" customWidth="1"/>
    <col min="9" max="9" width="11.25" style="321" customWidth="1"/>
    <col min="10" max="10" width="12.875" style="321" customWidth="1"/>
    <col min="11" max="11" width="11.25" style="321" customWidth="1"/>
    <col min="12" max="12" width="11" style="321" customWidth="1"/>
    <col min="13" max="13" width="11.875" style="321" customWidth="1"/>
    <col min="14" max="16384" width="9" style="293"/>
  </cols>
  <sheetData>
    <row r="1" spans="1:13">
      <c r="A1" s="790" t="str">
        <f>งบแสดงฐานะ!A1</f>
        <v>องค์การบริหารส่วนตำบลบ้านกอก  อำเภอจัตุรัส  จังหวัดชัยภูมิ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790"/>
    </row>
    <row r="2" spans="1:13">
      <c r="A2" s="790" t="s">
        <v>131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</row>
    <row r="3" spans="1:13">
      <c r="A3" s="790" t="s">
        <v>1104</v>
      </c>
      <c r="B3" s="790"/>
      <c r="C3" s="790"/>
      <c r="D3" s="790"/>
      <c r="E3" s="790"/>
      <c r="F3" s="790"/>
      <c r="G3" s="790"/>
      <c r="H3" s="790"/>
      <c r="I3" s="790"/>
      <c r="J3" s="790"/>
      <c r="K3" s="790"/>
      <c r="L3" s="790"/>
      <c r="M3" s="790"/>
    </row>
    <row r="4" spans="1:13">
      <c r="A4" s="793" t="s">
        <v>65</v>
      </c>
      <c r="B4" s="793" t="s">
        <v>50</v>
      </c>
      <c r="C4" s="794" t="s">
        <v>48</v>
      </c>
      <c r="D4" s="795"/>
      <c r="E4" s="795"/>
      <c r="F4" s="795"/>
      <c r="G4" s="795"/>
      <c r="H4" s="795"/>
      <c r="I4" s="795"/>
      <c r="J4" s="795"/>
      <c r="K4" s="795"/>
      <c r="L4" s="795"/>
      <c r="M4" s="796"/>
    </row>
    <row r="5" spans="1:13" ht="88.5" customHeight="1">
      <c r="A5" s="793"/>
      <c r="B5" s="793"/>
      <c r="C5" s="604" t="s">
        <v>97</v>
      </c>
      <c r="D5" s="591" t="s">
        <v>98</v>
      </c>
      <c r="E5" s="591" t="s">
        <v>99</v>
      </c>
      <c r="F5" s="591" t="s">
        <v>100</v>
      </c>
      <c r="G5" s="591" t="s">
        <v>101</v>
      </c>
      <c r="H5" s="591" t="s">
        <v>102</v>
      </c>
      <c r="I5" s="591" t="s">
        <v>103</v>
      </c>
      <c r="J5" s="591" t="s">
        <v>104</v>
      </c>
      <c r="K5" s="591" t="s">
        <v>105</v>
      </c>
      <c r="L5" s="591" t="s">
        <v>67</v>
      </c>
      <c r="M5" s="591" t="s">
        <v>35</v>
      </c>
    </row>
    <row r="6" spans="1:13">
      <c r="A6" s="592" t="s">
        <v>96</v>
      </c>
      <c r="B6" s="593"/>
      <c r="C6" s="594"/>
      <c r="D6" s="595"/>
      <c r="E6" s="595"/>
      <c r="F6" s="595"/>
      <c r="G6" s="595"/>
      <c r="H6" s="595"/>
      <c r="I6" s="595"/>
      <c r="J6" s="595"/>
      <c r="K6" s="595"/>
      <c r="L6" s="595"/>
      <c r="M6" s="595"/>
    </row>
    <row r="7" spans="1:13">
      <c r="A7" s="596" t="s">
        <v>69</v>
      </c>
      <c r="B7" s="596" t="s">
        <v>121</v>
      </c>
      <c r="C7" s="597"/>
      <c r="D7" s="598"/>
      <c r="E7" s="598"/>
      <c r="F7" s="598"/>
      <c r="G7" s="598"/>
      <c r="H7" s="598"/>
      <c r="I7" s="598"/>
      <c r="J7" s="598"/>
      <c r="K7" s="598"/>
      <c r="L7" s="598"/>
      <c r="M7" s="598">
        <f>SUM(C7:L7)</f>
        <v>0</v>
      </c>
    </row>
    <row r="8" spans="1:13">
      <c r="A8" s="599"/>
      <c r="B8" s="599" t="s">
        <v>122</v>
      </c>
      <c r="C8" s="600"/>
      <c r="D8" s="600"/>
      <c r="E8" s="600"/>
      <c r="F8" s="600"/>
      <c r="G8" s="600"/>
      <c r="H8" s="600"/>
      <c r="I8" s="600"/>
      <c r="J8" s="600"/>
      <c r="K8" s="600"/>
      <c r="L8" s="600"/>
      <c r="M8" s="598">
        <f t="shared" ref="M8:M17" si="0">SUM(C8:L8)</f>
        <v>0</v>
      </c>
    </row>
    <row r="9" spans="1:13">
      <c r="A9" s="599" t="s">
        <v>70</v>
      </c>
      <c r="B9" s="599" t="s">
        <v>71</v>
      </c>
      <c r="C9" s="600"/>
      <c r="D9" s="600"/>
      <c r="E9" s="600"/>
      <c r="F9" s="600"/>
      <c r="G9" s="600"/>
      <c r="H9" s="600"/>
      <c r="I9" s="600"/>
      <c r="J9" s="600"/>
      <c r="K9" s="600"/>
      <c r="L9" s="600"/>
      <c r="M9" s="598">
        <f t="shared" si="0"/>
        <v>0</v>
      </c>
    </row>
    <row r="10" spans="1:13">
      <c r="A10" s="599"/>
      <c r="B10" s="599" t="s">
        <v>72</v>
      </c>
      <c r="C10" s="600"/>
      <c r="D10" s="600"/>
      <c r="E10" s="600"/>
      <c r="F10" s="600"/>
      <c r="G10" s="600"/>
      <c r="H10" s="600"/>
      <c r="I10" s="600"/>
      <c r="J10" s="600"/>
      <c r="K10" s="600"/>
      <c r="L10" s="600"/>
      <c r="M10" s="598">
        <f t="shared" si="0"/>
        <v>0</v>
      </c>
    </row>
    <row r="11" spans="1:13">
      <c r="A11" s="599"/>
      <c r="B11" s="599" t="s">
        <v>73</v>
      </c>
      <c r="C11" s="600"/>
      <c r="D11" s="600"/>
      <c r="E11" s="600"/>
      <c r="F11" s="600"/>
      <c r="G11" s="600"/>
      <c r="H11" s="600"/>
      <c r="I11" s="600"/>
      <c r="J11" s="600"/>
      <c r="K11" s="600"/>
      <c r="L11" s="600"/>
      <c r="M11" s="598">
        <f t="shared" si="0"/>
        <v>0</v>
      </c>
    </row>
    <row r="12" spans="1:13">
      <c r="A12" s="599"/>
      <c r="B12" s="599" t="s">
        <v>74</v>
      </c>
      <c r="C12" s="600"/>
      <c r="D12" s="600"/>
      <c r="E12" s="600"/>
      <c r="F12" s="600"/>
      <c r="G12" s="600"/>
      <c r="H12" s="600"/>
      <c r="I12" s="600"/>
      <c r="J12" s="600"/>
      <c r="K12" s="600"/>
      <c r="L12" s="600"/>
      <c r="M12" s="598">
        <f t="shared" si="0"/>
        <v>0</v>
      </c>
    </row>
    <row r="13" spans="1:13">
      <c r="A13" s="599" t="s">
        <v>75</v>
      </c>
      <c r="B13" s="599" t="s">
        <v>76</v>
      </c>
      <c r="C13" s="600"/>
      <c r="D13" s="600"/>
      <c r="E13" s="600"/>
      <c r="F13" s="600"/>
      <c r="G13" s="600"/>
      <c r="H13" s="600"/>
      <c r="I13" s="600"/>
      <c r="J13" s="600"/>
      <c r="K13" s="600"/>
      <c r="L13" s="600"/>
      <c r="M13" s="598">
        <f t="shared" si="0"/>
        <v>0</v>
      </c>
    </row>
    <row r="14" spans="1:13">
      <c r="A14" s="599"/>
      <c r="B14" s="599" t="s">
        <v>77</v>
      </c>
      <c r="C14" s="600"/>
      <c r="D14" s="600"/>
      <c r="E14" s="600"/>
      <c r="F14" s="600"/>
      <c r="G14" s="600"/>
      <c r="H14" s="600"/>
      <c r="I14" s="600"/>
      <c r="J14" s="600"/>
      <c r="K14" s="600"/>
      <c r="L14" s="600"/>
      <c r="M14" s="598">
        <f t="shared" si="0"/>
        <v>0</v>
      </c>
    </row>
    <row r="15" spans="1:13">
      <c r="A15" s="599" t="s">
        <v>78</v>
      </c>
      <c r="B15" s="599" t="s">
        <v>79</v>
      </c>
      <c r="C15" s="600"/>
      <c r="D15" s="600"/>
      <c r="E15" s="600"/>
      <c r="F15" s="600"/>
      <c r="G15" s="600"/>
      <c r="H15" s="600"/>
      <c r="I15" s="600"/>
      <c r="J15" s="600"/>
      <c r="K15" s="600"/>
      <c r="L15" s="600"/>
      <c r="M15" s="598">
        <f t="shared" si="0"/>
        <v>0</v>
      </c>
    </row>
    <row r="16" spans="1:13">
      <c r="A16" s="599" t="s">
        <v>80</v>
      </c>
      <c r="B16" s="599" t="s">
        <v>81</v>
      </c>
      <c r="C16" s="600"/>
      <c r="D16" s="600"/>
      <c r="E16" s="600"/>
      <c r="F16" s="600"/>
      <c r="G16" s="600"/>
      <c r="H16" s="600"/>
      <c r="I16" s="600"/>
      <c r="J16" s="600"/>
      <c r="K16" s="600"/>
      <c r="L16" s="600"/>
      <c r="M16" s="598">
        <f t="shared" si="0"/>
        <v>0</v>
      </c>
    </row>
    <row r="17" spans="1:13">
      <c r="A17" s="599" t="s">
        <v>67</v>
      </c>
      <c r="B17" s="599" t="s">
        <v>67</v>
      </c>
      <c r="C17" s="600"/>
      <c r="D17" s="600"/>
      <c r="E17" s="600"/>
      <c r="F17" s="600"/>
      <c r="G17" s="600"/>
      <c r="H17" s="600"/>
      <c r="I17" s="600"/>
      <c r="J17" s="600"/>
      <c r="K17" s="600"/>
      <c r="L17" s="600"/>
      <c r="M17" s="598">
        <f t="shared" si="0"/>
        <v>0</v>
      </c>
    </row>
    <row r="18" spans="1:13">
      <c r="A18" s="601"/>
      <c r="B18" s="601"/>
      <c r="C18" s="602"/>
      <c r="D18" s="602"/>
      <c r="E18" s="602"/>
      <c r="F18" s="602"/>
      <c r="G18" s="602"/>
      <c r="H18" s="602"/>
      <c r="I18" s="602"/>
      <c r="J18" s="602"/>
      <c r="K18" s="602"/>
      <c r="L18" s="602"/>
      <c r="M18" s="602"/>
    </row>
    <row r="19" spans="1:13" ht="21.75" thickBot="1">
      <c r="A19" s="791" t="s">
        <v>35</v>
      </c>
      <c r="B19" s="792"/>
      <c r="C19" s="603">
        <f>SUM(C7:C17)</f>
        <v>0</v>
      </c>
      <c r="D19" s="603">
        <f t="shared" ref="D19:M19" si="1">SUM(D7:D17)</f>
        <v>0</v>
      </c>
      <c r="E19" s="603">
        <f t="shared" si="1"/>
        <v>0</v>
      </c>
      <c r="F19" s="603">
        <f t="shared" si="1"/>
        <v>0</v>
      </c>
      <c r="G19" s="603">
        <f t="shared" si="1"/>
        <v>0</v>
      </c>
      <c r="H19" s="603">
        <f t="shared" si="1"/>
        <v>0</v>
      </c>
      <c r="I19" s="603">
        <f t="shared" si="1"/>
        <v>0</v>
      </c>
      <c r="J19" s="603">
        <f t="shared" si="1"/>
        <v>0</v>
      </c>
      <c r="K19" s="603">
        <f t="shared" si="1"/>
        <v>0</v>
      </c>
      <c r="L19" s="603">
        <f t="shared" si="1"/>
        <v>0</v>
      </c>
      <c r="M19" s="603">
        <f t="shared" si="1"/>
        <v>0</v>
      </c>
    </row>
    <row r="20" spans="1:13" ht="21.75" thickTop="1"/>
  </sheetData>
  <mergeCells count="7">
    <mergeCell ref="A19:B19"/>
    <mergeCell ref="A1:M1"/>
    <mergeCell ref="A2:M2"/>
    <mergeCell ref="A3:M3"/>
    <mergeCell ref="A4:A5"/>
    <mergeCell ref="B4:B5"/>
    <mergeCell ref="C4:M4"/>
  </mergeCells>
  <pageMargins left="0.25" right="0.2" top="0.47244094488188981" bottom="0.51181102362204722" header="0.31496062992125984" footer="0.31496062992125984"/>
  <pageSetup paperSize="9"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O11" sqref="O11"/>
    </sheetView>
  </sheetViews>
  <sheetFormatPr defaultRowHeight="21"/>
  <cols>
    <col min="1" max="1" width="15.625" style="293" customWidth="1"/>
    <col min="2" max="2" width="21.5" style="293" customWidth="1"/>
    <col min="3" max="3" width="13.375" style="321" customWidth="1"/>
    <col min="4" max="4" width="13.875" style="321" customWidth="1"/>
    <col min="5" max="5" width="10.25" style="321" customWidth="1"/>
    <col min="6" max="6" width="10.375" style="321" customWidth="1"/>
    <col min="7" max="7" width="10.75" style="321" customWidth="1"/>
    <col min="8" max="8" width="10.25" style="321" customWidth="1"/>
    <col min="9" max="9" width="11.75" style="321" customWidth="1"/>
    <col min="10" max="10" width="12.75" style="321" customWidth="1"/>
    <col min="11" max="11" width="11.25" style="321" customWidth="1"/>
    <col min="12" max="12" width="10.75" style="321" customWidth="1"/>
    <col min="13" max="13" width="14.5" style="321" customWidth="1"/>
    <col min="14" max="16384" width="9" style="293"/>
  </cols>
  <sheetData>
    <row r="1" spans="1:13">
      <c r="A1" s="790" t="str">
        <f>งบแสดงฐานะ!A1</f>
        <v>องค์การบริหารส่วนตำบลบ้านกอก  อำเภอจัตุรัส  จังหวัดชัยภูมิ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790"/>
    </row>
    <row r="2" spans="1:13">
      <c r="A2" s="790" t="s">
        <v>132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</row>
    <row r="3" spans="1:13">
      <c r="A3" s="790" t="s">
        <v>1104</v>
      </c>
      <c r="B3" s="790"/>
      <c r="C3" s="790"/>
      <c r="D3" s="790"/>
      <c r="E3" s="790"/>
      <c r="F3" s="790"/>
      <c r="G3" s="790"/>
      <c r="H3" s="790"/>
      <c r="I3" s="790"/>
      <c r="J3" s="790"/>
      <c r="K3" s="790"/>
      <c r="L3" s="790"/>
      <c r="M3" s="790"/>
    </row>
    <row r="4" spans="1:13">
      <c r="A4" s="793" t="s">
        <v>65</v>
      </c>
      <c r="B4" s="793" t="s">
        <v>50</v>
      </c>
      <c r="C4" s="794" t="s">
        <v>48</v>
      </c>
      <c r="D4" s="795"/>
      <c r="E4" s="795"/>
      <c r="F4" s="795"/>
      <c r="G4" s="795"/>
      <c r="H4" s="795"/>
      <c r="I4" s="795"/>
      <c r="J4" s="795"/>
      <c r="K4" s="795"/>
      <c r="L4" s="795"/>
      <c r="M4" s="796"/>
    </row>
    <row r="5" spans="1:13" ht="63">
      <c r="A5" s="793"/>
      <c r="B5" s="793"/>
      <c r="C5" s="604" t="s">
        <v>97</v>
      </c>
      <c r="D5" s="591" t="s">
        <v>98</v>
      </c>
      <c r="E5" s="591" t="s">
        <v>99</v>
      </c>
      <c r="F5" s="591" t="s">
        <v>100</v>
      </c>
      <c r="G5" s="591" t="s">
        <v>101</v>
      </c>
      <c r="H5" s="591" t="s">
        <v>102</v>
      </c>
      <c r="I5" s="591" t="s">
        <v>103</v>
      </c>
      <c r="J5" s="591" t="s">
        <v>104</v>
      </c>
      <c r="K5" s="591" t="s">
        <v>105</v>
      </c>
      <c r="L5" s="591" t="s">
        <v>67</v>
      </c>
      <c r="M5" s="591" t="s">
        <v>35</v>
      </c>
    </row>
    <row r="6" spans="1:13">
      <c r="A6" s="592" t="s">
        <v>96</v>
      </c>
      <c r="B6" s="593"/>
      <c r="C6" s="594"/>
      <c r="D6" s="595"/>
      <c r="E6" s="595"/>
      <c r="F6" s="595"/>
      <c r="G6" s="595"/>
      <c r="H6" s="595"/>
      <c r="I6" s="595"/>
      <c r="J6" s="595"/>
      <c r="K6" s="595"/>
      <c r="L6" s="595"/>
      <c r="M6" s="595"/>
    </row>
    <row r="7" spans="1:13">
      <c r="A7" s="596" t="s">
        <v>69</v>
      </c>
      <c r="B7" s="596" t="s">
        <v>121</v>
      </c>
      <c r="C7" s="597"/>
      <c r="D7" s="598"/>
      <c r="E7" s="598"/>
      <c r="F7" s="598"/>
      <c r="G7" s="598"/>
      <c r="H7" s="598"/>
      <c r="I7" s="598"/>
      <c r="J7" s="598"/>
      <c r="K7" s="598"/>
      <c r="L7" s="598"/>
      <c r="M7" s="598">
        <f>SUM(C7:L7)</f>
        <v>0</v>
      </c>
    </row>
    <row r="8" spans="1:13">
      <c r="A8" s="599"/>
      <c r="B8" s="599" t="s">
        <v>122</v>
      </c>
      <c r="C8" s="600"/>
      <c r="D8" s="600"/>
      <c r="E8" s="600"/>
      <c r="F8" s="600"/>
      <c r="G8" s="600"/>
      <c r="H8" s="600"/>
      <c r="I8" s="600"/>
      <c r="J8" s="600"/>
      <c r="K8" s="600"/>
      <c r="L8" s="600"/>
      <c r="M8" s="598">
        <f t="shared" ref="M8:M17" si="0">SUM(C8:L8)</f>
        <v>0</v>
      </c>
    </row>
    <row r="9" spans="1:13">
      <c r="A9" s="599" t="s">
        <v>70</v>
      </c>
      <c r="B9" s="599" t="s">
        <v>71</v>
      </c>
      <c r="C9" s="600"/>
      <c r="D9" s="600"/>
      <c r="E9" s="600"/>
      <c r="F9" s="600"/>
      <c r="G9" s="600"/>
      <c r="H9" s="600"/>
      <c r="I9" s="600"/>
      <c r="J9" s="600"/>
      <c r="K9" s="600"/>
      <c r="L9" s="600"/>
      <c r="M9" s="598">
        <f t="shared" si="0"/>
        <v>0</v>
      </c>
    </row>
    <row r="10" spans="1:13">
      <c r="A10" s="599"/>
      <c r="B10" s="599" t="s">
        <v>72</v>
      </c>
      <c r="C10" s="600"/>
      <c r="D10" s="600"/>
      <c r="E10" s="600"/>
      <c r="F10" s="600"/>
      <c r="G10" s="600"/>
      <c r="H10" s="600"/>
      <c r="I10" s="600"/>
      <c r="J10" s="600"/>
      <c r="K10" s="600"/>
      <c r="L10" s="600"/>
      <c r="M10" s="598">
        <f t="shared" si="0"/>
        <v>0</v>
      </c>
    </row>
    <row r="11" spans="1:13">
      <c r="A11" s="599"/>
      <c r="B11" s="599" t="s">
        <v>73</v>
      </c>
      <c r="C11" s="600"/>
      <c r="D11" s="600"/>
      <c r="E11" s="600"/>
      <c r="F11" s="600"/>
      <c r="G11" s="600"/>
      <c r="H11" s="600"/>
      <c r="I11" s="600"/>
      <c r="J11" s="600"/>
      <c r="K11" s="600"/>
      <c r="L11" s="600"/>
      <c r="M11" s="598">
        <f t="shared" si="0"/>
        <v>0</v>
      </c>
    </row>
    <row r="12" spans="1:13">
      <c r="A12" s="599"/>
      <c r="B12" s="599" t="s">
        <v>74</v>
      </c>
      <c r="C12" s="600"/>
      <c r="D12" s="600"/>
      <c r="E12" s="600"/>
      <c r="F12" s="600"/>
      <c r="G12" s="600"/>
      <c r="H12" s="600"/>
      <c r="I12" s="600"/>
      <c r="J12" s="600"/>
      <c r="K12" s="600"/>
      <c r="L12" s="600"/>
      <c r="M12" s="598">
        <f t="shared" si="0"/>
        <v>0</v>
      </c>
    </row>
    <row r="13" spans="1:13">
      <c r="A13" s="599" t="s">
        <v>75</v>
      </c>
      <c r="B13" s="599" t="s">
        <v>76</v>
      </c>
      <c r="C13" s="600"/>
      <c r="D13" s="600"/>
      <c r="E13" s="600"/>
      <c r="F13" s="600"/>
      <c r="G13" s="600"/>
      <c r="H13" s="600"/>
      <c r="I13" s="600"/>
      <c r="J13" s="600"/>
      <c r="K13" s="600"/>
      <c r="L13" s="600"/>
      <c r="M13" s="598">
        <f t="shared" si="0"/>
        <v>0</v>
      </c>
    </row>
    <row r="14" spans="1:13">
      <c r="A14" s="599"/>
      <c r="B14" s="599" t="s">
        <v>77</v>
      </c>
      <c r="C14" s="600"/>
      <c r="D14" s="600"/>
      <c r="E14" s="600"/>
      <c r="F14" s="600"/>
      <c r="G14" s="600"/>
      <c r="H14" s="600"/>
      <c r="I14" s="600"/>
      <c r="J14" s="600"/>
      <c r="K14" s="600"/>
      <c r="L14" s="600"/>
      <c r="M14" s="598">
        <f t="shared" si="0"/>
        <v>0</v>
      </c>
    </row>
    <row r="15" spans="1:13">
      <c r="A15" s="599" t="s">
        <v>78</v>
      </c>
      <c r="B15" s="599" t="s">
        <v>79</v>
      </c>
      <c r="C15" s="600"/>
      <c r="D15" s="600"/>
      <c r="E15" s="600"/>
      <c r="F15" s="600"/>
      <c r="G15" s="600"/>
      <c r="H15" s="600"/>
      <c r="I15" s="600"/>
      <c r="J15" s="600"/>
      <c r="K15" s="600"/>
      <c r="L15" s="600"/>
      <c r="M15" s="598">
        <f t="shared" si="0"/>
        <v>0</v>
      </c>
    </row>
    <row r="16" spans="1:13">
      <c r="A16" s="599" t="s">
        <v>80</v>
      </c>
      <c r="B16" s="599" t="s">
        <v>81</v>
      </c>
      <c r="C16" s="600"/>
      <c r="D16" s="600"/>
      <c r="E16" s="600"/>
      <c r="F16" s="600"/>
      <c r="G16" s="600"/>
      <c r="H16" s="600"/>
      <c r="I16" s="600"/>
      <c r="J16" s="600"/>
      <c r="K16" s="600"/>
      <c r="L16" s="600"/>
      <c r="M16" s="598">
        <f t="shared" si="0"/>
        <v>0</v>
      </c>
    </row>
    <row r="17" spans="1:13">
      <c r="A17" s="599" t="s">
        <v>67</v>
      </c>
      <c r="B17" s="599" t="s">
        <v>67</v>
      </c>
      <c r="C17" s="600"/>
      <c r="D17" s="600"/>
      <c r="E17" s="600"/>
      <c r="F17" s="600"/>
      <c r="G17" s="600"/>
      <c r="H17" s="600"/>
      <c r="I17" s="600"/>
      <c r="J17" s="600"/>
      <c r="K17" s="600"/>
      <c r="L17" s="600"/>
      <c r="M17" s="598">
        <f t="shared" si="0"/>
        <v>0</v>
      </c>
    </row>
    <row r="18" spans="1:13">
      <c r="A18" s="601"/>
      <c r="B18" s="601"/>
      <c r="C18" s="602"/>
      <c r="D18" s="602"/>
      <c r="E18" s="602"/>
      <c r="F18" s="602"/>
      <c r="G18" s="602"/>
      <c r="H18" s="602"/>
      <c r="I18" s="602"/>
      <c r="J18" s="602"/>
      <c r="K18" s="602"/>
      <c r="L18" s="602"/>
      <c r="M18" s="602"/>
    </row>
    <row r="19" spans="1:13" ht="21.75" thickBot="1">
      <c r="A19" s="791" t="s">
        <v>35</v>
      </c>
      <c r="B19" s="792"/>
      <c r="C19" s="603">
        <f>SUM(C7:C17)</f>
        <v>0</v>
      </c>
      <c r="D19" s="603">
        <f t="shared" ref="D19:M19" si="1">SUM(D7:D17)</f>
        <v>0</v>
      </c>
      <c r="E19" s="603">
        <f t="shared" si="1"/>
        <v>0</v>
      </c>
      <c r="F19" s="603">
        <f t="shared" si="1"/>
        <v>0</v>
      </c>
      <c r="G19" s="603">
        <f t="shared" si="1"/>
        <v>0</v>
      </c>
      <c r="H19" s="603">
        <f t="shared" si="1"/>
        <v>0</v>
      </c>
      <c r="I19" s="603">
        <f t="shared" si="1"/>
        <v>0</v>
      </c>
      <c r="J19" s="603">
        <f t="shared" si="1"/>
        <v>0</v>
      </c>
      <c r="K19" s="603">
        <f t="shared" si="1"/>
        <v>0</v>
      </c>
      <c r="L19" s="603">
        <f t="shared" si="1"/>
        <v>0</v>
      </c>
      <c r="M19" s="603">
        <f t="shared" si="1"/>
        <v>0</v>
      </c>
    </row>
    <row r="20" spans="1:13" ht="21.75" thickTop="1"/>
  </sheetData>
  <mergeCells count="7">
    <mergeCell ref="A19:B19"/>
    <mergeCell ref="A1:M1"/>
    <mergeCell ref="A2:M2"/>
    <mergeCell ref="A3:M3"/>
    <mergeCell ref="A4:A5"/>
    <mergeCell ref="B4:B5"/>
    <mergeCell ref="C4:M4"/>
  </mergeCells>
  <pageMargins left="0.28999999999999998" right="0.2" top="0.51181102362204722" bottom="0.43307086614173229" header="0.31496062992125984" footer="0.31496062992125984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U34"/>
  <sheetViews>
    <sheetView zoomScale="120" zoomScaleNormal="120" workbookViewId="0">
      <selection activeCell="P1" sqref="P1:Q1048576"/>
    </sheetView>
  </sheetViews>
  <sheetFormatPr defaultRowHeight="18"/>
  <cols>
    <col min="1" max="1" width="21.375" style="45" customWidth="1"/>
    <col min="2" max="2" width="10.875" style="45" customWidth="1"/>
    <col min="3" max="3" width="10.375" style="45" customWidth="1"/>
    <col min="4" max="4" width="10" style="45" customWidth="1"/>
    <col min="5" max="5" width="10.375" style="45" customWidth="1"/>
    <col min="6" max="6" width="12.75" style="45" customWidth="1"/>
    <col min="7" max="7" width="9" style="45"/>
    <col min="8" max="8" width="9.875" style="45" customWidth="1"/>
    <col min="9" max="14" width="9" style="45"/>
    <col min="15" max="15" width="10" style="45" customWidth="1"/>
    <col min="16" max="16" width="10.875" style="45" customWidth="1"/>
    <col min="17" max="16384" width="9" style="45"/>
  </cols>
  <sheetData>
    <row r="1" spans="1:21">
      <c r="A1" s="801" t="s">
        <v>150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</row>
    <row r="2" spans="1:21">
      <c r="A2" s="801" t="s">
        <v>633</v>
      </c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</row>
    <row r="3" spans="1:21">
      <c r="A3" s="801" t="s">
        <v>1105</v>
      </c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  <c r="O3" s="801"/>
    </row>
    <row r="4" spans="1:21" ht="18" customHeight="1">
      <c r="A4" s="799" t="s">
        <v>291</v>
      </c>
      <c r="B4" s="799" t="s">
        <v>66</v>
      </c>
      <c r="C4" s="799" t="s">
        <v>113</v>
      </c>
      <c r="D4" s="799" t="s">
        <v>130</v>
      </c>
      <c r="E4" s="799" t="s">
        <v>35</v>
      </c>
      <c r="F4" s="799" t="s">
        <v>97</v>
      </c>
      <c r="G4" s="799" t="s">
        <v>98</v>
      </c>
      <c r="H4" s="799" t="s">
        <v>99</v>
      </c>
      <c r="I4" s="799" t="s">
        <v>100</v>
      </c>
      <c r="J4" s="799" t="s">
        <v>101</v>
      </c>
      <c r="K4" s="799" t="s">
        <v>102</v>
      </c>
      <c r="L4" s="802" t="s">
        <v>103</v>
      </c>
      <c r="M4" s="799" t="s">
        <v>104</v>
      </c>
      <c r="N4" s="799" t="s">
        <v>105</v>
      </c>
      <c r="O4" s="799" t="s">
        <v>67</v>
      </c>
    </row>
    <row r="5" spans="1:21" ht="53.25" customHeight="1">
      <c r="A5" s="800"/>
      <c r="B5" s="800"/>
      <c r="C5" s="800"/>
      <c r="D5" s="800"/>
      <c r="E5" s="800"/>
      <c r="F5" s="800"/>
      <c r="G5" s="800"/>
      <c r="H5" s="800"/>
      <c r="I5" s="800"/>
      <c r="J5" s="800"/>
      <c r="K5" s="800"/>
      <c r="L5" s="803"/>
      <c r="M5" s="804"/>
      <c r="N5" s="800"/>
      <c r="O5" s="800"/>
    </row>
    <row r="6" spans="1:21">
      <c r="A6" s="61" t="s">
        <v>96</v>
      </c>
      <c r="B6" s="62"/>
      <c r="C6" s="63"/>
      <c r="D6" s="72"/>
      <c r="E6" s="72"/>
      <c r="F6" s="63"/>
      <c r="G6" s="62"/>
      <c r="H6" s="62"/>
      <c r="I6" s="62"/>
      <c r="J6" s="62"/>
      <c r="K6" s="62"/>
      <c r="L6" s="62"/>
      <c r="M6" s="62"/>
      <c r="N6" s="62"/>
      <c r="O6" s="63"/>
      <c r="R6" s="245"/>
      <c r="S6" s="245"/>
      <c r="T6" s="246"/>
      <c r="U6" s="246"/>
    </row>
    <row r="7" spans="1:21">
      <c r="A7" s="62" t="s">
        <v>634</v>
      </c>
      <c r="B7" s="64">
        <f>งบกลาง!D19</f>
        <v>15110400</v>
      </c>
      <c r="C7" s="65">
        <f>Sheet2!C101</f>
        <v>14842876.449999999</v>
      </c>
      <c r="D7" s="64">
        <v>0</v>
      </c>
      <c r="E7" s="64">
        <f t="shared" ref="E7:E17" si="0">C7+D7</f>
        <v>14842876.449999999</v>
      </c>
      <c r="F7" s="65"/>
      <c r="G7" s="64"/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f>'Sheet3 (โอน)'!E15</f>
        <v>14842876.449999999</v>
      </c>
      <c r="P7" s="247"/>
      <c r="Q7" s="247"/>
      <c r="R7" s="66"/>
      <c r="S7" s="66"/>
      <c r="T7" s="66"/>
      <c r="U7" s="66"/>
    </row>
    <row r="8" spans="1:21">
      <c r="A8" s="62" t="s">
        <v>635</v>
      </c>
      <c r="B8" s="64">
        <f>Sheet2!B109</f>
        <v>3119320</v>
      </c>
      <c r="C8" s="65">
        <f>Sheet2!C109</f>
        <v>2836800</v>
      </c>
      <c r="D8" s="64">
        <v>0</v>
      </c>
      <c r="E8" s="64">
        <f t="shared" si="0"/>
        <v>2836800</v>
      </c>
      <c r="F8" s="65">
        <f>'Sheet3 (โอน)'!E22</f>
        <v>2836800</v>
      </c>
      <c r="G8" s="64"/>
      <c r="H8" s="64"/>
      <c r="I8" s="64">
        <f>'[2]สรุปรายจ่ายตามงบประมาณ '!G23</f>
        <v>0</v>
      </c>
      <c r="J8" s="64">
        <f>'[2]สรุปรายจ่ายตามงบประมาณ '!I23</f>
        <v>0</v>
      </c>
      <c r="K8" s="64">
        <f>'[2]สรุปรายจ่ายตามงบประมาณ '!J23</f>
        <v>0</v>
      </c>
      <c r="L8" s="64">
        <f>'[2]สรุปรายจ่ายตามงบประมาณ '!L23</f>
        <v>0</v>
      </c>
      <c r="M8" s="64">
        <f>'[2]สรุปรายจ่ายตามงบประมาณ '!M23</f>
        <v>0</v>
      </c>
      <c r="N8" s="64">
        <f>'[2]สรุปรายจ่ายตามงบประมาณ '!N23</f>
        <v>0</v>
      </c>
      <c r="O8" s="250"/>
      <c r="P8" s="247"/>
      <c r="Q8" s="247"/>
      <c r="R8" s="66"/>
      <c r="S8" s="66"/>
      <c r="T8" s="66"/>
      <c r="U8" s="66"/>
    </row>
    <row r="9" spans="1:21">
      <c r="A9" s="62" t="s">
        <v>269</v>
      </c>
      <c r="B9" s="64">
        <f>Sheet2!B117</f>
        <v>11201520</v>
      </c>
      <c r="C9" s="65">
        <f>Sheet2!C117</f>
        <v>9986929</v>
      </c>
      <c r="D9" s="64">
        <v>0</v>
      </c>
      <c r="E9" s="64">
        <f t="shared" si="0"/>
        <v>9986929</v>
      </c>
      <c r="F9" s="65">
        <f>'Sheet3 (โอน)'!E31+'Sheet3 (โอน)'!E39</f>
        <v>4853929</v>
      </c>
      <c r="G9" s="64"/>
      <c r="H9" s="64">
        <f>'Sheet3 (โอน)'!E53+'Sheet3 (โอน)'!E60</f>
        <v>2410440</v>
      </c>
      <c r="I9" s="64">
        <f>'Sheet3 (โอน)'!E66</f>
        <v>380880</v>
      </c>
      <c r="J9" s="64">
        <f>'Sheet3 (โอน)'!E73</f>
        <v>972840</v>
      </c>
      <c r="K9" s="64">
        <f>'Sheet3 (โอน)'!E46</f>
        <v>1209420</v>
      </c>
      <c r="L9" s="64">
        <f>[2]สร้างความเข้มแข็งของชุมชน!G9</f>
        <v>0</v>
      </c>
      <c r="M9" s="64">
        <f>[2]ศาสนาวัฒนธรรม!G9</f>
        <v>0</v>
      </c>
      <c r="N9" s="64">
        <f>'Sheet3 (โอน)'!E80</f>
        <v>159420</v>
      </c>
      <c r="O9" s="250"/>
      <c r="P9" s="247"/>
      <c r="Q9" s="247"/>
      <c r="R9" s="66"/>
      <c r="S9" s="66"/>
      <c r="T9" s="66"/>
      <c r="U9" s="66"/>
    </row>
    <row r="10" spans="1:21">
      <c r="A10" s="62" t="s">
        <v>636</v>
      </c>
      <c r="B10" s="64">
        <f>Sheet2!B126</f>
        <v>938840</v>
      </c>
      <c r="C10" s="65">
        <f>Sheet2!C126</f>
        <v>456400</v>
      </c>
      <c r="D10" s="64">
        <v>0</v>
      </c>
      <c r="E10" s="64">
        <f t="shared" si="0"/>
        <v>456400</v>
      </c>
      <c r="F10" s="65">
        <f>'Sheet3 (โอน)'!E87+'Sheet3 (โอน)'!E96</f>
        <v>303700</v>
      </c>
      <c r="G10" s="64">
        <f>'Sheet3 (โอน)'!E90</f>
        <v>42000</v>
      </c>
      <c r="H10" s="64">
        <f>'Sheet3 (โอน)'!E107+'Sheet3 (โอน)'!E111</f>
        <v>32200</v>
      </c>
      <c r="I10" s="64">
        <f>'Sheet3 (โอน)'!E117</f>
        <v>0</v>
      </c>
      <c r="J10" s="64">
        <f>'Sheet3 (โอน)'!E123</f>
        <v>42000</v>
      </c>
      <c r="K10" s="64">
        <f>'Sheet3 (โอน)'!E102</f>
        <v>36500</v>
      </c>
      <c r="L10" s="64">
        <f>[2]สร้างความเข้มแข็งของชุมชน!G10</f>
        <v>0</v>
      </c>
      <c r="M10" s="64">
        <f>[2]ศาสนาวัฒนธรรม!G10</f>
        <v>0</v>
      </c>
      <c r="N10" s="64">
        <f>'Sheet3 (โอน)'!E129</f>
        <v>0</v>
      </c>
      <c r="O10" s="250"/>
      <c r="P10" s="247"/>
      <c r="Q10" s="247"/>
      <c r="R10" s="66"/>
      <c r="S10" s="66"/>
      <c r="T10" s="66"/>
      <c r="U10" s="66"/>
    </row>
    <row r="11" spans="1:21">
      <c r="A11" s="62" t="s">
        <v>637</v>
      </c>
      <c r="B11" s="64">
        <f>Sheet2!B181</f>
        <v>4364467</v>
      </c>
      <c r="C11" s="65">
        <f>Sheet2!C181</f>
        <v>2653622.7999999998</v>
      </c>
      <c r="D11" s="64">
        <v>0</v>
      </c>
      <c r="E11" s="64">
        <f t="shared" si="0"/>
        <v>2653622.7999999998</v>
      </c>
      <c r="F11" s="65">
        <f>'Sheet3 (โอน)'!E146+'Sheet3 (โอน)'!E163</f>
        <v>1202416</v>
      </c>
      <c r="G11" s="64">
        <f>'Sheet3 (โอน)'!E155</f>
        <v>40287.800000000003</v>
      </c>
      <c r="H11" s="64">
        <f>'Sheet3 (โอน)'!E172+'Sheet3 (โอน)'!E180</f>
        <v>869466</v>
      </c>
      <c r="I11" s="64">
        <f>'Sheet3 (โอน)'!E219</f>
        <v>90088</v>
      </c>
      <c r="J11" s="64">
        <f>'Sheet3 (โอน)'!E226</f>
        <v>0</v>
      </c>
      <c r="K11" s="64">
        <f>'Sheet3 (โอน)'!E195+'Sheet3 (โอน)'!E199+'Sheet3 (โอน)'!E203+'Sheet3 (โอน)'!E209</f>
        <v>264274</v>
      </c>
      <c r="L11" s="64">
        <f>'Sheet3 (โอน)'!E236</f>
        <v>107225</v>
      </c>
      <c r="M11" s="64">
        <f>'Sheet3 (โอน)'!E183+'Sheet3 (โอน)'!E189</f>
        <v>42310</v>
      </c>
      <c r="N11" s="64">
        <f>'Sheet3 (โอน)'!E243+'Sheet3 (โอน)'!E249</f>
        <v>37556</v>
      </c>
      <c r="O11" s="250"/>
      <c r="P11" s="247"/>
      <c r="Q11" s="247"/>
      <c r="R11" s="66"/>
      <c r="S11" s="66"/>
      <c r="T11" s="66"/>
      <c r="U11" s="66"/>
    </row>
    <row r="12" spans="1:21">
      <c r="A12" s="62" t="s">
        <v>300</v>
      </c>
      <c r="B12" s="64">
        <f>Sheet2!B198</f>
        <v>1743008</v>
      </c>
      <c r="C12" s="65">
        <f>Sheet2!C198</f>
        <v>1389313.52</v>
      </c>
      <c r="D12" s="64">
        <v>0</v>
      </c>
      <c r="E12" s="64">
        <f t="shared" si="0"/>
        <v>1389313.52</v>
      </c>
      <c r="F12" s="65">
        <f>'Sheet3 (โอน)'!E258+'Sheet3 (โอน)'!E265</f>
        <v>371741</v>
      </c>
      <c r="G12" s="64">
        <f>'Sheet3 (โอน)'!E261</f>
        <v>5500</v>
      </c>
      <c r="H12" s="64">
        <f>'Sheet3 (โอน)'!E283+'Sheet3 (โอน)'!E286</f>
        <v>824548.52</v>
      </c>
      <c r="I12" s="64">
        <f>'Sheet3 (โอน)'!E291</f>
        <v>49790</v>
      </c>
      <c r="J12" s="64">
        <f>'Sheet3 (โอน)'!E295</f>
        <v>0</v>
      </c>
      <c r="K12" s="64">
        <f>'Sheet3 (โอน)'!E273+'Sheet3 (โอน)'!E277</f>
        <v>127734</v>
      </c>
      <c r="L12" s="64">
        <v>0</v>
      </c>
      <c r="M12" s="64">
        <f>[2]ศาสนาวัฒนธรรม!G12</f>
        <v>0</v>
      </c>
      <c r="N12" s="64">
        <f>'Sheet3 (โอน)'!E299</f>
        <v>10000</v>
      </c>
      <c r="O12" s="250"/>
      <c r="P12" s="247"/>
      <c r="Q12" s="247"/>
      <c r="R12" s="66"/>
      <c r="S12" s="66"/>
      <c r="T12" s="66"/>
      <c r="U12" s="66"/>
    </row>
    <row r="13" spans="1:21">
      <c r="A13" s="62" t="s">
        <v>301</v>
      </c>
      <c r="B13" s="64">
        <f>Sheet2!B205</f>
        <v>495000</v>
      </c>
      <c r="C13" s="65">
        <f>Sheet2!C205</f>
        <v>369736</v>
      </c>
      <c r="D13" s="64">
        <v>0</v>
      </c>
      <c r="E13" s="64">
        <f t="shared" si="0"/>
        <v>369736</v>
      </c>
      <c r="F13" s="65">
        <f>'Sheet3 (โอน)'!E307</f>
        <v>346352.61</v>
      </c>
      <c r="G13" s="64"/>
      <c r="H13" s="64">
        <f>'Sheet3 (โอน)'!E312</f>
        <v>23383.39</v>
      </c>
      <c r="I13" s="64">
        <f>[2]สาธารณสุข!H13</f>
        <v>0</v>
      </c>
      <c r="J13" s="64">
        <f>[2]สังคมสงเคราะห์!G13</f>
        <v>0</v>
      </c>
      <c r="K13" s="64">
        <f>[2]เคหะและชุมชน!I13</f>
        <v>0</v>
      </c>
      <c r="L13" s="64">
        <f>[2]สร้างความเข้มแข็งของชุมชน!G13</f>
        <v>0</v>
      </c>
      <c r="M13" s="64">
        <f>[2]ศาสนาวัฒนธรรม!G13</f>
        <v>0</v>
      </c>
      <c r="N13" s="64">
        <v>0</v>
      </c>
      <c r="O13" s="250"/>
      <c r="P13" s="247"/>
      <c r="Q13" s="247"/>
      <c r="R13" s="66"/>
      <c r="S13" s="66"/>
      <c r="T13" s="66"/>
      <c r="U13" s="66"/>
    </row>
    <row r="14" spans="1:21">
      <c r="A14" s="62" t="s">
        <v>273</v>
      </c>
      <c r="B14" s="64">
        <f>Sheet2!B224</f>
        <v>197100</v>
      </c>
      <c r="C14" s="65">
        <f>Sheet2!C224-29900</f>
        <v>197100</v>
      </c>
      <c r="D14" s="64">
        <v>29900</v>
      </c>
      <c r="E14" s="64">
        <f t="shared" si="0"/>
        <v>227000</v>
      </c>
      <c r="F14" s="65">
        <f>'Sheet3 (โอน)'!E341+'Sheet3 (โอน)'!E345+'Sheet3 (โอน)'!E374</f>
        <v>57300</v>
      </c>
      <c r="G14" s="64">
        <f>'Sheet3 (โอน)'!E392</f>
        <v>7500</v>
      </c>
      <c r="H14" s="64">
        <f>'Sheet3 (โอน)'!E357+'Sheet3 (โอน)'!E361+'Sheet3 (โอน)'!E389</f>
        <v>68400</v>
      </c>
      <c r="I14" s="64">
        <f>'Sheet3 (โอน)'!E366</f>
        <v>7000</v>
      </c>
      <c r="J14" s="64">
        <f>'Sheet3 (โอน)'!E353+'Sheet3 (โอน)'!E383</f>
        <v>34800</v>
      </c>
      <c r="K14" s="64">
        <f>'Sheet3 (โอน)'!E349+'Sheet3 (โอน)'!E378</f>
        <v>40500</v>
      </c>
      <c r="L14" s="64">
        <f>[2]สร้างความเข้มแข็งของชุมชน!G14</f>
        <v>0</v>
      </c>
      <c r="M14" s="64">
        <f>[2]ศาสนาวัฒนธรรม!G14</f>
        <v>0</v>
      </c>
      <c r="N14" s="64">
        <f>'Sheet3 (โอน)'!E370</f>
        <v>8000</v>
      </c>
      <c r="O14" s="250"/>
      <c r="P14" s="247"/>
      <c r="Q14" s="247"/>
      <c r="R14" s="66"/>
      <c r="S14" s="66"/>
      <c r="T14" s="66"/>
      <c r="U14" s="66"/>
    </row>
    <row r="15" spans="1:21">
      <c r="A15" s="62" t="s">
        <v>638</v>
      </c>
      <c r="B15" s="64">
        <f>Sheet2!B233</f>
        <v>4164945</v>
      </c>
      <c r="C15" s="65">
        <f>Sheet2!C233</f>
        <v>3711600</v>
      </c>
      <c r="D15" s="64">
        <v>0</v>
      </c>
      <c r="E15" s="64">
        <f t="shared" si="0"/>
        <v>3711600</v>
      </c>
      <c r="F15" s="65">
        <v>0</v>
      </c>
      <c r="G15" s="64"/>
      <c r="H15" s="64">
        <f>'Sheet3 (โอน)'!E423</f>
        <v>153600</v>
      </c>
      <c r="I15" s="64">
        <v>0</v>
      </c>
      <c r="J15" s="64">
        <f>[2]สังคมสงเคราะห์!G15</f>
        <v>0</v>
      </c>
      <c r="K15" s="64">
        <f>'Sheet3 (โอน)'!E419</f>
        <v>2903000</v>
      </c>
      <c r="L15" s="64">
        <f>[2]สร้างความเข้มแข็งของชุมชน!G15</f>
        <v>0</v>
      </c>
      <c r="M15" s="64">
        <f>[2]ศาสนาวัฒนธรรม!G15</f>
        <v>0</v>
      </c>
      <c r="N15" s="64">
        <f>'Sheet3 (โอน)'!E427</f>
        <v>655000</v>
      </c>
      <c r="O15" s="64"/>
      <c r="P15" s="247"/>
      <c r="Q15" s="247"/>
      <c r="R15" s="66"/>
      <c r="S15" s="66"/>
    </row>
    <row r="16" spans="1:21">
      <c r="A16" s="62" t="s">
        <v>292</v>
      </c>
      <c r="B16" s="64">
        <v>0</v>
      </c>
      <c r="C16" s="65">
        <v>0</v>
      </c>
      <c r="D16" s="64">
        <v>0</v>
      </c>
      <c r="E16" s="64">
        <f t="shared" si="0"/>
        <v>0</v>
      </c>
      <c r="F16" s="65">
        <v>0</v>
      </c>
      <c r="G16" s="64"/>
      <c r="H16" s="64">
        <f>[2]แผนการศึกษา!H15</f>
        <v>0</v>
      </c>
      <c r="I16" s="64">
        <v>0</v>
      </c>
      <c r="J16" s="64">
        <f>[2]สังคมสงเคราะห์!G16</f>
        <v>0</v>
      </c>
      <c r="K16" s="64">
        <f>[2]เคหะและชุมชน!I16</f>
        <v>0</v>
      </c>
      <c r="L16" s="64">
        <f>[2]สร้างความเข้มแข็งของชุมชน!G16</f>
        <v>0</v>
      </c>
      <c r="M16" s="64">
        <f>[2]ศาสนาวัฒนธรรม!G16</f>
        <v>0</v>
      </c>
      <c r="N16" s="64">
        <v>0</v>
      </c>
      <c r="O16" s="64"/>
      <c r="P16" s="247"/>
      <c r="Q16" s="247"/>
      <c r="R16" s="66"/>
      <c r="S16" s="66"/>
      <c r="T16" s="66"/>
      <c r="U16" s="66"/>
    </row>
    <row r="17" spans="1:21">
      <c r="A17" s="62" t="s">
        <v>275</v>
      </c>
      <c r="B17" s="64">
        <f>Sheet2!B213</f>
        <v>1933000</v>
      </c>
      <c r="C17" s="65">
        <f>Sheet2!C213</f>
        <v>1831000</v>
      </c>
      <c r="D17" s="64">
        <v>0</v>
      </c>
      <c r="E17" s="64">
        <f t="shared" si="0"/>
        <v>1831000</v>
      </c>
      <c r="F17" s="65">
        <f>[2]รายจ่ายตามแผนงานรวม!D17</f>
        <v>0</v>
      </c>
      <c r="G17" s="64"/>
      <c r="H17" s="64">
        <f>'Sheet3 (โอน)'!E327</f>
        <v>1466000</v>
      </c>
      <c r="I17" s="64">
        <f>'Sheet3 (โอน)'!E331</f>
        <v>340000</v>
      </c>
      <c r="J17" s="64">
        <v>0</v>
      </c>
      <c r="K17" s="64">
        <f>[2]เคหะและชุมชน!I17</f>
        <v>0</v>
      </c>
      <c r="L17" s="64">
        <f>'Sheet3 (โอน)'!E329</f>
        <v>25000</v>
      </c>
      <c r="M17" s="64">
        <f>[2]ศาสนาวัฒนธรรม!G17</f>
        <v>0</v>
      </c>
      <c r="N17" s="64">
        <v>0</v>
      </c>
      <c r="O17" s="64"/>
      <c r="P17" s="247"/>
      <c r="Q17" s="247"/>
      <c r="R17" s="66"/>
      <c r="S17" s="66"/>
      <c r="T17" s="66"/>
      <c r="U17" s="66"/>
    </row>
    <row r="18" spans="1:21">
      <c r="A18" s="320" t="s">
        <v>782</v>
      </c>
      <c r="B18" s="67">
        <f>SUM(B7:B17)</f>
        <v>43267600</v>
      </c>
      <c r="C18" s="70">
        <f>SUM(C7:C17)</f>
        <v>38275377.769999996</v>
      </c>
      <c r="D18" s="75">
        <f>SUM(D7:D17)</f>
        <v>29900</v>
      </c>
      <c r="E18" s="67">
        <f>SUM(E7:E17)</f>
        <v>38305277.769999996</v>
      </c>
      <c r="F18" s="70">
        <f>SUM(F6:F17)</f>
        <v>9972238.6099999994</v>
      </c>
      <c r="G18" s="67">
        <f t="shared" ref="G18" si="1">SUM(G8:G17)</f>
        <v>95287.8</v>
      </c>
      <c r="H18" s="67">
        <f>SUM(H6:H17)</f>
        <v>5848037.9100000001</v>
      </c>
      <c r="I18" s="75">
        <f>SUM(I6:I17)</f>
        <v>867758</v>
      </c>
      <c r="J18" s="67">
        <f t="shared" ref="J18:N18" si="2">SUM(J8:J17)</f>
        <v>1049640</v>
      </c>
      <c r="K18" s="67">
        <f t="shared" si="2"/>
        <v>4581428</v>
      </c>
      <c r="L18" s="67">
        <f t="shared" si="2"/>
        <v>132225</v>
      </c>
      <c r="M18" s="67">
        <f t="shared" si="2"/>
        <v>42310</v>
      </c>
      <c r="N18" s="67">
        <f t="shared" si="2"/>
        <v>869976</v>
      </c>
      <c r="O18" s="67">
        <f>SUM(O7:O17)</f>
        <v>14842876.449999999</v>
      </c>
      <c r="P18" s="248"/>
      <c r="Q18" s="247"/>
      <c r="R18" s="66"/>
      <c r="S18" s="66"/>
    </row>
    <row r="19" spans="1:21">
      <c r="A19" s="71" t="s">
        <v>107</v>
      </c>
      <c r="B19" s="72"/>
      <c r="C19" s="72"/>
      <c r="D19" s="62"/>
      <c r="E19" s="62"/>
      <c r="F19" s="68"/>
      <c r="G19" s="72"/>
      <c r="H19" s="72"/>
      <c r="I19" s="72"/>
      <c r="J19" s="72"/>
      <c r="K19" s="72"/>
      <c r="L19" s="72"/>
      <c r="M19" s="72"/>
      <c r="N19" s="72"/>
      <c r="O19" s="72"/>
      <c r="Q19" s="66"/>
      <c r="R19" s="66"/>
      <c r="S19" s="66"/>
    </row>
    <row r="20" spans="1:21">
      <c r="A20" s="62" t="s">
        <v>108</v>
      </c>
      <c r="B20" s="64">
        <f>Sheet2!B13</f>
        <v>346200</v>
      </c>
      <c r="C20" s="65">
        <f>Sheet2!C13</f>
        <v>308538.83</v>
      </c>
      <c r="D20" s="64">
        <v>0</v>
      </c>
      <c r="E20" s="64">
        <f t="shared" ref="E20:E27" si="3">C20+D20</f>
        <v>308538.83</v>
      </c>
      <c r="F20" s="65">
        <v>0</v>
      </c>
      <c r="G20" s="64">
        <v>0</v>
      </c>
      <c r="H20" s="65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Q20" s="247"/>
      <c r="R20" s="66"/>
      <c r="S20" s="66"/>
    </row>
    <row r="21" spans="1:21">
      <c r="A21" s="62" t="s">
        <v>109</v>
      </c>
      <c r="B21" s="64">
        <f>Sheet2!B40</f>
        <v>289400</v>
      </c>
      <c r="C21" s="65">
        <f>Sheet2!C40</f>
        <v>209703</v>
      </c>
      <c r="D21" s="64">
        <v>0</v>
      </c>
      <c r="E21" s="64">
        <f t="shared" si="3"/>
        <v>209703</v>
      </c>
      <c r="F21" s="66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</row>
    <row r="22" spans="1:21">
      <c r="A22" s="62" t="s">
        <v>294</v>
      </c>
      <c r="B22" s="64">
        <f>Sheet2!B43</f>
        <v>161000</v>
      </c>
      <c r="C22" s="65">
        <f>Sheet2!C43</f>
        <v>215707.94</v>
      </c>
      <c r="D22" s="64">
        <v>0</v>
      </c>
      <c r="E22" s="64">
        <f t="shared" si="3"/>
        <v>215707.94</v>
      </c>
      <c r="F22" s="66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R22" s="68"/>
    </row>
    <row r="23" spans="1:21">
      <c r="A23" s="62" t="s">
        <v>110</v>
      </c>
      <c r="B23" s="64">
        <f>Sheet2!B52</f>
        <v>20800</v>
      </c>
      <c r="C23" s="65">
        <f>Sheet2!C52</f>
        <v>2272</v>
      </c>
      <c r="D23" s="64">
        <v>0</v>
      </c>
      <c r="E23" s="64">
        <f t="shared" si="3"/>
        <v>2272</v>
      </c>
      <c r="F23" s="66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</row>
    <row r="24" spans="1:21">
      <c r="A24" s="62" t="s">
        <v>111</v>
      </c>
      <c r="B24" s="64">
        <f>Sheet2!B55</f>
        <v>6000</v>
      </c>
      <c r="C24" s="65">
        <f>Sheet2!C55</f>
        <v>0</v>
      </c>
      <c r="D24" s="64">
        <v>0</v>
      </c>
      <c r="E24" s="64">
        <f t="shared" si="3"/>
        <v>0</v>
      </c>
      <c r="F24" s="66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</row>
    <row r="25" spans="1:21">
      <c r="A25" s="62" t="s">
        <v>295</v>
      </c>
      <c r="B25" s="64">
        <f>Sheet2!B25</f>
        <v>18246645</v>
      </c>
      <c r="C25" s="65">
        <f>Sheet2!C25</f>
        <v>19553508.639999997</v>
      </c>
      <c r="D25" s="64">
        <v>0</v>
      </c>
      <c r="E25" s="64">
        <f t="shared" si="3"/>
        <v>19553508.639999997</v>
      </c>
      <c r="F25" s="66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</row>
    <row r="26" spans="1:21">
      <c r="A26" s="62" t="s">
        <v>112</v>
      </c>
      <c r="B26" s="64">
        <f>Sheet2!B61</f>
        <v>24197555</v>
      </c>
      <c r="C26" s="65">
        <f>Sheet2!C58</f>
        <v>23872332</v>
      </c>
      <c r="D26" s="64">
        <v>0</v>
      </c>
      <c r="E26" s="64">
        <f t="shared" si="3"/>
        <v>23872332</v>
      </c>
      <c r="F26" s="66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</row>
    <row r="27" spans="1:21">
      <c r="A27" s="62" t="s">
        <v>785</v>
      </c>
      <c r="B27" s="250">
        <v>0</v>
      </c>
      <c r="C27" s="64">
        <f>'[2]งบรับ-จ่ายรวมเงินอุดหนุน'!C58</f>
        <v>0</v>
      </c>
      <c r="D27" s="64">
        <v>29900</v>
      </c>
      <c r="E27" s="64">
        <f t="shared" si="3"/>
        <v>29900</v>
      </c>
      <c r="F27" s="66">
        <v>0</v>
      </c>
      <c r="G27" s="64">
        <v>0</v>
      </c>
      <c r="H27" s="64">
        <v>0</v>
      </c>
      <c r="I27" s="64">
        <v>0</v>
      </c>
      <c r="J27" s="64"/>
      <c r="K27" s="64">
        <v>0</v>
      </c>
      <c r="L27" s="64">
        <v>0</v>
      </c>
      <c r="M27" s="64">
        <v>0</v>
      </c>
      <c r="N27" s="64">
        <v>0</v>
      </c>
      <c r="O27" s="64">
        <v>0</v>
      </c>
    </row>
    <row r="28" spans="1:21">
      <c r="A28" s="320" t="s">
        <v>783</v>
      </c>
      <c r="B28" s="74">
        <f t="shared" ref="B28:K28" si="4">SUM(B20:B27)</f>
        <v>43267600</v>
      </c>
      <c r="C28" s="75">
        <f>SUM(C20:C27)</f>
        <v>44162062.409999996</v>
      </c>
      <c r="D28" s="75">
        <f>SUM(D20:D27)</f>
        <v>29900</v>
      </c>
      <c r="E28" s="75">
        <f>SUM(E20:E27)</f>
        <v>44191962.409999996</v>
      </c>
      <c r="F28" s="249">
        <f t="shared" si="4"/>
        <v>0</v>
      </c>
      <c r="G28" s="75">
        <f t="shared" ref="G28" si="5">SUM(G20:G27)</f>
        <v>0</v>
      </c>
      <c r="H28" s="75">
        <f t="shared" si="4"/>
        <v>0</v>
      </c>
      <c r="I28" s="75">
        <f t="shared" si="4"/>
        <v>0</v>
      </c>
      <c r="J28" s="75">
        <f t="shared" si="4"/>
        <v>0</v>
      </c>
      <c r="K28" s="75">
        <f t="shared" si="4"/>
        <v>0</v>
      </c>
      <c r="L28" s="75">
        <f>SUM(L20:L27)</f>
        <v>0</v>
      </c>
      <c r="M28" s="75">
        <f>SUM(M20:M27)</f>
        <v>0</v>
      </c>
      <c r="N28" s="75">
        <f>SUM(N20:N27)</f>
        <v>0</v>
      </c>
      <c r="O28" s="75">
        <f>SUM(O20:O27)</f>
        <v>0</v>
      </c>
    </row>
    <row r="29" spans="1:21" ht="18.75" thickBot="1">
      <c r="A29" s="797" t="s">
        <v>784</v>
      </c>
      <c r="B29" s="798"/>
      <c r="C29" s="488"/>
      <c r="D29" s="488"/>
      <c r="E29" s="605">
        <f>E28-E18</f>
        <v>5886684.6400000006</v>
      </c>
      <c r="F29" s="66"/>
      <c r="G29" s="66"/>
      <c r="H29" s="66"/>
      <c r="I29" s="66"/>
      <c r="J29" s="66"/>
      <c r="K29" s="66"/>
      <c r="L29" s="66"/>
      <c r="M29" s="66"/>
      <c r="N29" s="66"/>
      <c r="O29" s="68"/>
    </row>
    <row r="30" spans="1:21" s="491" customFormat="1" ht="19.5" thickTop="1">
      <c r="A30" s="491" t="s">
        <v>1315</v>
      </c>
      <c r="B30" s="354"/>
      <c r="C30" s="354"/>
      <c r="D30" s="354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</row>
    <row r="31" spans="1:21" ht="21">
      <c r="B31" s="354" t="s">
        <v>801</v>
      </c>
      <c r="C31" s="354"/>
      <c r="D31" s="247"/>
      <c r="E31" s="247"/>
      <c r="F31" s="354" t="s">
        <v>1316</v>
      </c>
      <c r="H31" s="354"/>
      <c r="I31" s="606"/>
      <c r="J31" s="354" t="s">
        <v>803</v>
      </c>
      <c r="K31" s="354"/>
      <c r="L31" s="354"/>
    </row>
    <row r="32" spans="1:21" ht="18.75">
      <c r="B32" s="806" t="s">
        <v>786</v>
      </c>
      <c r="C32" s="806"/>
      <c r="D32" s="68"/>
      <c r="E32" s="68"/>
      <c r="F32" s="805" t="s">
        <v>788</v>
      </c>
      <c r="G32" s="805"/>
      <c r="H32" s="805"/>
      <c r="J32" s="805" t="s">
        <v>788</v>
      </c>
      <c r="K32" s="805"/>
      <c r="L32" s="805"/>
    </row>
    <row r="33" spans="1:12" ht="18.75">
      <c r="A33" s="68"/>
      <c r="B33" s="806" t="s">
        <v>22</v>
      </c>
      <c r="C33" s="806"/>
      <c r="D33" s="68"/>
      <c r="E33" s="68"/>
      <c r="F33" s="805" t="s">
        <v>787</v>
      </c>
      <c r="G33" s="805"/>
      <c r="H33" s="805"/>
      <c r="J33" s="805" t="s">
        <v>789</v>
      </c>
      <c r="K33" s="805"/>
      <c r="L33" s="805"/>
    </row>
    <row r="34" spans="1:12" ht="18.75">
      <c r="B34" s="267"/>
      <c r="C34" s="285"/>
      <c r="D34" s="247"/>
      <c r="E34" s="247"/>
      <c r="J34" s="805" t="s">
        <v>790</v>
      </c>
      <c r="K34" s="805"/>
      <c r="L34" s="805"/>
    </row>
  </sheetData>
  <mergeCells count="26">
    <mergeCell ref="J34:L34"/>
    <mergeCell ref="B32:C32"/>
    <mergeCell ref="B33:C33"/>
    <mergeCell ref="F32:H32"/>
    <mergeCell ref="F33:H33"/>
    <mergeCell ref="J32:L32"/>
    <mergeCell ref="J33:L33"/>
    <mergeCell ref="A1:O1"/>
    <mergeCell ref="A2:O2"/>
    <mergeCell ref="A3:O3"/>
    <mergeCell ref="A4:A5"/>
    <mergeCell ref="B4:B5"/>
    <mergeCell ref="C4:C5"/>
    <mergeCell ref="F4:F5"/>
    <mergeCell ref="H4:H5"/>
    <mergeCell ref="I4:I5"/>
    <mergeCell ref="L4:L5"/>
    <mergeCell ref="M4:M5"/>
    <mergeCell ref="N4:N5"/>
    <mergeCell ref="O4:O5"/>
    <mergeCell ref="A29:B29"/>
    <mergeCell ref="D4:D5"/>
    <mergeCell ref="E4:E5"/>
    <mergeCell ref="J4:J5"/>
    <mergeCell ref="K4:K5"/>
    <mergeCell ref="G4:G5"/>
  </mergeCells>
  <pageMargins left="0.2" right="0.2" top="0.22" bottom="0.2" header="0.2" footer="0.2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5"/>
  <sheetViews>
    <sheetView zoomScaleSheetLayoutView="100" workbookViewId="0">
      <selection activeCell="M12" sqref="M12"/>
    </sheetView>
  </sheetViews>
  <sheetFormatPr defaultRowHeight="21"/>
  <cols>
    <col min="1" max="1" width="4.5" style="1" customWidth="1"/>
    <col min="2" max="2" width="4" style="1" customWidth="1"/>
    <col min="3" max="3" width="33.5" style="1" customWidth="1"/>
    <col min="4" max="4" width="5.5" style="1" customWidth="1"/>
    <col min="5" max="5" width="9" style="3"/>
    <col min="6" max="6" width="7.375" style="1" customWidth="1"/>
    <col min="7" max="7" width="15.625" style="4" customWidth="1"/>
    <col min="8" max="8" width="5.125" style="5" customWidth="1"/>
    <col min="9" max="9" width="15.625" style="4" customWidth="1"/>
    <col min="10" max="16384" width="9" style="1"/>
  </cols>
  <sheetData>
    <row r="1" spans="1:9">
      <c r="A1" s="721" t="s">
        <v>150</v>
      </c>
      <c r="B1" s="721"/>
      <c r="C1" s="721"/>
      <c r="D1" s="721"/>
      <c r="E1" s="721"/>
      <c r="F1" s="721"/>
      <c r="G1" s="721"/>
      <c r="H1" s="721"/>
      <c r="I1" s="721"/>
    </row>
    <row r="2" spans="1:9">
      <c r="A2" s="721" t="s">
        <v>0</v>
      </c>
      <c r="B2" s="721"/>
      <c r="C2" s="721"/>
      <c r="D2" s="721"/>
      <c r="E2" s="721"/>
      <c r="F2" s="721"/>
      <c r="G2" s="721"/>
      <c r="H2" s="721"/>
      <c r="I2" s="721"/>
    </row>
    <row r="3" spans="1:9">
      <c r="A3" s="721" t="s">
        <v>1185</v>
      </c>
      <c r="B3" s="721"/>
      <c r="C3" s="721"/>
      <c r="D3" s="721"/>
      <c r="E3" s="721"/>
      <c r="F3" s="721"/>
      <c r="G3" s="721"/>
      <c r="H3" s="721"/>
      <c r="I3" s="721"/>
    </row>
    <row r="4" spans="1:9">
      <c r="A4" s="2"/>
      <c r="B4" s="2"/>
      <c r="C4" s="2"/>
      <c r="D4" s="2"/>
      <c r="E4" s="9" t="s">
        <v>12</v>
      </c>
      <c r="F4" s="2"/>
      <c r="G4" s="12" t="s">
        <v>1005</v>
      </c>
      <c r="H4" s="13"/>
      <c r="I4" s="12" t="s">
        <v>142</v>
      </c>
    </row>
    <row r="5" spans="1:9" ht="21.75" thickBot="1">
      <c r="A5" s="2" t="s">
        <v>1</v>
      </c>
      <c r="B5" s="2"/>
      <c r="E5" s="442">
        <v>2</v>
      </c>
      <c r="G5" s="10">
        <v>29402852.539999999</v>
      </c>
      <c r="H5" s="8"/>
      <c r="I5" s="10">
        <v>29109252.539999999</v>
      </c>
    </row>
    <row r="6" spans="1:9" ht="21.75" thickTop="1">
      <c r="A6" s="2" t="s">
        <v>2</v>
      </c>
      <c r="B6" s="2"/>
      <c r="E6" s="442"/>
    </row>
    <row r="7" spans="1:9">
      <c r="A7" s="2"/>
      <c r="B7" s="2" t="s">
        <v>3</v>
      </c>
      <c r="E7" s="442"/>
    </row>
    <row r="8" spans="1:9">
      <c r="C8" s="32" t="s">
        <v>4</v>
      </c>
      <c r="E8" s="442">
        <v>3</v>
      </c>
      <c r="G8" s="4">
        <v>33606104.310000002</v>
      </c>
      <c r="I8" s="4">
        <v>30598870.010000002</v>
      </c>
    </row>
    <row r="9" spans="1:9">
      <c r="C9" s="32" t="s">
        <v>1006</v>
      </c>
      <c r="E9" s="442">
        <v>4</v>
      </c>
      <c r="G9" s="4">
        <v>19600</v>
      </c>
      <c r="I9" s="4">
        <v>0</v>
      </c>
    </row>
    <row r="10" spans="1:9">
      <c r="C10" s="32" t="s">
        <v>5</v>
      </c>
      <c r="E10" s="442">
        <v>5</v>
      </c>
      <c r="G10" s="4">
        <v>42400</v>
      </c>
      <c r="I10" s="4">
        <v>42400</v>
      </c>
    </row>
    <row r="11" spans="1:9">
      <c r="C11" s="32" t="s">
        <v>6</v>
      </c>
      <c r="E11" s="442">
        <v>6</v>
      </c>
      <c r="G11" s="321">
        <v>20033.28</v>
      </c>
      <c r="H11" s="322"/>
      <c r="I11" s="321">
        <v>12283.92</v>
      </c>
    </row>
    <row r="12" spans="1:9">
      <c r="C12" s="32" t="s">
        <v>7</v>
      </c>
      <c r="E12" s="442">
        <v>7</v>
      </c>
      <c r="G12" s="4">
        <f>เหตุ7!D33</f>
        <v>1727584</v>
      </c>
      <c r="I12" s="4">
        <f>เหตุ7!D64</f>
        <v>1727584</v>
      </c>
    </row>
    <row r="13" spans="1:9">
      <c r="C13" s="32" t="s">
        <v>8</v>
      </c>
      <c r="E13" s="442">
        <v>8</v>
      </c>
      <c r="G13" s="4">
        <f>เหตุ8!F8</f>
        <v>0</v>
      </c>
      <c r="I13" s="4">
        <f>เหตุ8!H8</f>
        <v>13518.75</v>
      </c>
    </row>
    <row r="14" spans="1:9">
      <c r="B14" s="2"/>
      <c r="C14" s="2" t="s">
        <v>9</v>
      </c>
      <c r="E14" s="442"/>
      <c r="G14" s="11">
        <f>SUM(G8:G13)</f>
        <v>35415721.590000004</v>
      </c>
      <c r="H14" s="8"/>
      <c r="I14" s="11">
        <f>SUM(I8:I13)</f>
        <v>32394656.680000003</v>
      </c>
    </row>
    <row r="15" spans="1:9" ht="21.75" thickBot="1">
      <c r="A15" s="2" t="s">
        <v>10</v>
      </c>
      <c r="B15" s="2"/>
      <c r="C15" s="2"/>
      <c r="E15" s="442"/>
      <c r="G15" s="10">
        <f>+G14</f>
        <v>35415721.590000004</v>
      </c>
      <c r="H15" s="8"/>
      <c r="I15" s="10">
        <f>+I14</f>
        <v>32394656.680000003</v>
      </c>
    </row>
    <row r="16" spans="1:9" ht="21.75" thickTop="1">
      <c r="E16" s="442"/>
    </row>
    <row r="17" spans="1:9" ht="21.75" thickBot="1">
      <c r="A17" s="2" t="s">
        <v>749</v>
      </c>
      <c r="B17" s="2"/>
      <c r="E17" s="442">
        <v>2</v>
      </c>
      <c r="G17" s="10">
        <f>เหตุ2!B47</f>
        <v>29402852.539999999</v>
      </c>
      <c r="H17" s="8"/>
      <c r="I17" s="10">
        <f>เหตุ2!C47</f>
        <v>29109252.539999999</v>
      </c>
    </row>
    <row r="18" spans="1:9" ht="21.75" thickTop="1">
      <c r="A18" s="2" t="s">
        <v>13</v>
      </c>
      <c r="B18" s="2"/>
      <c r="E18" s="442"/>
    </row>
    <row r="19" spans="1:9">
      <c r="A19" s="2"/>
      <c r="B19" s="2" t="s">
        <v>14</v>
      </c>
      <c r="E19" s="442"/>
    </row>
    <row r="20" spans="1:9">
      <c r="C20" s="32" t="s">
        <v>15</v>
      </c>
      <c r="E20" s="442">
        <v>9</v>
      </c>
      <c r="G20" s="4">
        <f>เหตุ9!G20</f>
        <v>1887597</v>
      </c>
      <c r="I20" s="4">
        <v>1439300</v>
      </c>
    </row>
    <row r="21" spans="1:9">
      <c r="C21" s="32" t="s">
        <v>16</v>
      </c>
      <c r="E21" s="442">
        <v>10</v>
      </c>
      <c r="G21" s="4">
        <f>เหตุ10!C19</f>
        <v>2052254.82</v>
      </c>
      <c r="I21" s="4">
        <f>เหตุ10!E19</f>
        <v>2388771.5499999998</v>
      </c>
    </row>
    <row r="22" spans="1:9">
      <c r="C22" s="2" t="s">
        <v>17</v>
      </c>
      <c r="E22" s="442"/>
      <c r="G22" s="11">
        <f>SUM(G20:G21)</f>
        <v>3939851.8200000003</v>
      </c>
      <c r="H22" s="8"/>
      <c r="I22" s="11">
        <f>SUM(I20:I21)</f>
        <v>3828071.55</v>
      </c>
    </row>
    <row r="23" spans="1:9">
      <c r="B23" s="2" t="s">
        <v>114</v>
      </c>
      <c r="E23" s="442"/>
      <c r="G23" s="11">
        <f>+G22</f>
        <v>3939851.8200000003</v>
      </c>
      <c r="H23" s="8"/>
      <c r="I23" s="11">
        <f>+I22</f>
        <v>3828071.55</v>
      </c>
    </row>
    <row r="24" spans="1:9">
      <c r="A24" s="2" t="s">
        <v>18</v>
      </c>
      <c r="E24" s="442"/>
    </row>
    <row r="25" spans="1:9">
      <c r="B25" s="32" t="s">
        <v>18</v>
      </c>
      <c r="C25" s="32"/>
      <c r="E25" s="442">
        <v>11</v>
      </c>
      <c r="G25" s="4">
        <v>15892239.220000001</v>
      </c>
      <c r="I25" s="4">
        <v>13865957.279999999</v>
      </c>
    </row>
    <row r="26" spans="1:9">
      <c r="B26" s="32" t="s">
        <v>19</v>
      </c>
      <c r="C26" s="32"/>
      <c r="E26" s="442"/>
      <c r="G26" s="6">
        <v>15583630.550000001</v>
      </c>
      <c r="I26" s="6">
        <v>14700627.85</v>
      </c>
    </row>
    <row r="27" spans="1:9">
      <c r="A27" s="2"/>
      <c r="B27" s="2" t="s">
        <v>20</v>
      </c>
      <c r="E27" s="442"/>
      <c r="G27" s="11">
        <f>SUM(G25:G26)</f>
        <v>31475869.770000003</v>
      </c>
      <c r="H27" s="8"/>
      <c r="I27" s="11">
        <f>SUM(I25:I26)</f>
        <v>28566585.129999999</v>
      </c>
    </row>
    <row r="28" spans="1:9" ht="21.75" thickBot="1">
      <c r="A28" s="2" t="s">
        <v>21</v>
      </c>
      <c r="E28" s="442"/>
      <c r="G28" s="7">
        <f>G23+G27</f>
        <v>35415721.590000004</v>
      </c>
      <c r="H28" s="8"/>
      <c r="I28" s="7">
        <f>SUM(I23,I27)</f>
        <v>32394656.68</v>
      </c>
    </row>
    <row r="29" spans="1:9" ht="21.75" thickTop="1">
      <c r="E29" s="442"/>
    </row>
    <row r="30" spans="1:9">
      <c r="A30" s="2" t="s">
        <v>11</v>
      </c>
    </row>
    <row r="32" spans="1:9">
      <c r="C32" s="1" t="s">
        <v>742</v>
      </c>
      <c r="D32" s="1" t="s">
        <v>744</v>
      </c>
      <c r="G32" s="1" t="s">
        <v>745</v>
      </c>
    </row>
    <row r="33" spans="3:7">
      <c r="C33" s="1" t="s">
        <v>740</v>
      </c>
      <c r="D33" s="1" t="s">
        <v>743</v>
      </c>
      <c r="G33" s="1" t="s">
        <v>746</v>
      </c>
    </row>
    <row r="34" spans="3:7">
      <c r="C34" s="1" t="s">
        <v>741</v>
      </c>
      <c r="D34" s="1" t="s">
        <v>690</v>
      </c>
      <c r="G34" s="1" t="s">
        <v>747</v>
      </c>
    </row>
    <row r="35" spans="3:7">
      <c r="G35" s="4" t="s">
        <v>748</v>
      </c>
    </row>
  </sheetData>
  <mergeCells count="3">
    <mergeCell ref="A1:I1"/>
    <mergeCell ref="A2:I2"/>
    <mergeCell ref="A3:I3"/>
  </mergeCells>
  <pageMargins left="0.82" right="0.31496062992125984" top="0.46" bottom="0.27559055118110237" header="0.56999999999999995" footer="0.19685039370078741"/>
  <pageSetup paperSize="9" scale="8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W43"/>
  <sheetViews>
    <sheetView zoomScale="120" zoomScaleNormal="120" workbookViewId="0">
      <selection activeCell="R5" sqref="R5"/>
    </sheetView>
  </sheetViews>
  <sheetFormatPr defaultRowHeight="18"/>
  <cols>
    <col min="1" max="1" width="20.875" style="44" customWidth="1"/>
    <col min="2" max="2" width="9.625" style="44" customWidth="1"/>
    <col min="3" max="3" width="10.375" style="45" customWidth="1"/>
    <col min="4" max="4" width="9.5" style="45" customWidth="1"/>
    <col min="5" max="5" width="11.125" style="45" customWidth="1"/>
    <col min="6" max="6" width="9.375" style="45" customWidth="1"/>
    <col min="7" max="7" width="12.25" style="45" customWidth="1"/>
    <col min="8" max="8" width="8.75" style="44" customWidth="1"/>
    <col min="9" max="9" width="7.375" style="44" customWidth="1"/>
    <col min="10" max="11" width="9" style="44"/>
    <col min="12" max="12" width="8.375" style="44" customWidth="1"/>
    <col min="13" max="13" width="9.25" style="44" bestFit="1" customWidth="1"/>
    <col min="14" max="14" width="7.625" style="44" customWidth="1"/>
    <col min="15" max="15" width="7.25" style="44" customWidth="1"/>
    <col min="16" max="16" width="9" style="44"/>
    <col min="17" max="17" width="9" style="44" customWidth="1"/>
    <col min="18" max="18" width="11.125" style="44" customWidth="1"/>
    <col min="19" max="19" width="11.875" style="44" customWidth="1"/>
    <col min="20" max="16384" width="9" style="44"/>
  </cols>
  <sheetData>
    <row r="1" spans="1:23" ht="15.75">
      <c r="A1" s="801" t="s">
        <v>264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  <c r="P1" s="801"/>
      <c r="Q1" s="801"/>
    </row>
    <row r="2" spans="1:23" ht="15.75">
      <c r="A2" s="801" t="s">
        <v>290</v>
      </c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</row>
    <row r="3" spans="1:23" ht="15.75">
      <c r="A3" s="801" t="s">
        <v>1105</v>
      </c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  <c r="O3" s="801"/>
      <c r="P3" s="801"/>
      <c r="Q3" s="801"/>
    </row>
    <row r="4" spans="1:23" ht="14.25" customHeight="1">
      <c r="A4" s="807" t="s">
        <v>291</v>
      </c>
      <c r="B4" s="807" t="s">
        <v>66</v>
      </c>
      <c r="C4" s="799" t="s">
        <v>113</v>
      </c>
      <c r="D4" s="799" t="s">
        <v>130</v>
      </c>
      <c r="E4" s="807" t="s">
        <v>35</v>
      </c>
      <c r="F4" s="807" t="s">
        <v>1181</v>
      </c>
      <c r="G4" s="807" t="s">
        <v>35</v>
      </c>
      <c r="H4" s="807" t="s">
        <v>97</v>
      </c>
      <c r="I4" s="807" t="s">
        <v>98</v>
      </c>
      <c r="J4" s="807" t="s">
        <v>99</v>
      </c>
      <c r="K4" s="807" t="s">
        <v>100</v>
      </c>
      <c r="L4" s="807" t="s">
        <v>101</v>
      </c>
      <c r="M4" s="807" t="s">
        <v>102</v>
      </c>
      <c r="N4" s="807" t="s">
        <v>103</v>
      </c>
      <c r="O4" s="807" t="s">
        <v>104</v>
      </c>
      <c r="P4" s="807" t="s">
        <v>105</v>
      </c>
      <c r="Q4" s="807" t="s">
        <v>67</v>
      </c>
    </row>
    <row r="5" spans="1:23" ht="62.25" customHeight="1">
      <c r="A5" s="808"/>
      <c r="B5" s="808"/>
      <c r="C5" s="800"/>
      <c r="D5" s="800"/>
      <c r="E5" s="808"/>
      <c r="F5" s="808"/>
      <c r="G5" s="808"/>
      <c r="H5" s="808"/>
      <c r="I5" s="808"/>
      <c r="J5" s="808"/>
      <c r="K5" s="808"/>
      <c r="L5" s="808"/>
      <c r="M5" s="808"/>
      <c r="N5" s="808"/>
      <c r="O5" s="808"/>
      <c r="P5" s="808"/>
      <c r="Q5" s="808"/>
    </row>
    <row r="6" spans="1:23" s="45" customFormat="1">
      <c r="A6" s="61" t="s">
        <v>96</v>
      </c>
      <c r="B6" s="62"/>
      <c r="C6" s="63"/>
      <c r="D6" s="72"/>
      <c r="E6" s="72"/>
      <c r="F6" s="72"/>
      <c r="G6" s="63"/>
      <c r="H6" s="63"/>
      <c r="I6" s="62"/>
      <c r="J6" s="62"/>
      <c r="K6" s="62"/>
      <c r="L6" s="62"/>
      <c r="M6" s="62"/>
      <c r="N6" s="62"/>
      <c r="O6" s="62"/>
      <c r="P6" s="62"/>
      <c r="Q6" s="63"/>
      <c r="T6" s="245"/>
      <c r="U6" s="245"/>
      <c r="V6" s="246"/>
      <c r="W6" s="246"/>
    </row>
    <row r="7" spans="1:23" s="45" customFormat="1">
      <c r="A7" s="62" t="s">
        <v>297</v>
      </c>
      <c r="B7" s="64">
        <f>งบกลาง!D19</f>
        <v>15110400</v>
      </c>
      <c r="C7" s="65">
        <f>Sheet2!C101</f>
        <v>14842876.449999999</v>
      </c>
      <c r="D7" s="64">
        <v>0</v>
      </c>
      <c r="E7" s="64">
        <f>H7+I7+J7+K7+L7+M7+N7+O7+P7+Q7</f>
        <v>14842876.449999999</v>
      </c>
      <c r="F7" s="64">
        <v>475200</v>
      </c>
      <c r="G7" s="65">
        <f t="shared" ref="G7:G15" si="0">SUM(E7:F7)</f>
        <v>15318076.449999999</v>
      </c>
      <c r="H7" s="65"/>
      <c r="I7" s="64"/>
      <c r="J7" s="64">
        <v>0</v>
      </c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14842876.449999999</v>
      </c>
      <c r="R7" s="247"/>
      <c r="S7" s="247"/>
      <c r="T7" s="66"/>
      <c r="U7" s="66"/>
      <c r="V7" s="66"/>
      <c r="W7" s="66"/>
    </row>
    <row r="8" spans="1:23" s="45" customFormat="1">
      <c r="A8" s="62" t="s">
        <v>121</v>
      </c>
      <c r="B8" s="64">
        <f>Sheet2!B109</f>
        <v>3119320</v>
      </c>
      <c r="C8" s="65">
        <f>Sheet2!C109</f>
        <v>2836800</v>
      </c>
      <c r="D8" s="64">
        <v>0</v>
      </c>
      <c r="E8" s="64">
        <f t="shared" ref="E8:E17" si="1">H8+I8+J8+K8+L8+M8+N8+O8+P8+Q8</f>
        <v>2836800</v>
      </c>
      <c r="F8" s="64"/>
      <c r="G8" s="65">
        <f t="shared" si="0"/>
        <v>2836800</v>
      </c>
      <c r="H8" s="65">
        <v>2836800</v>
      </c>
      <c r="I8" s="64"/>
      <c r="J8" s="64"/>
      <c r="K8" s="64">
        <v>0</v>
      </c>
      <c r="L8" s="64">
        <v>0</v>
      </c>
      <c r="M8" s="64">
        <v>0</v>
      </c>
      <c r="N8" s="64">
        <v>0</v>
      </c>
      <c r="O8" s="64">
        <v>0</v>
      </c>
      <c r="P8" s="64">
        <v>0</v>
      </c>
      <c r="Q8" s="250"/>
      <c r="R8" s="247"/>
      <c r="S8" s="247"/>
      <c r="T8" s="66"/>
      <c r="U8" s="66"/>
      <c r="V8" s="66"/>
      <c r="W8" s="66"/>
    </row>
    <row r="9" spans="1:23" s="45" customFormat="1">
      <c r="A9" s="62" t="s">
        <v>122</v>
      </c>
      <c r="B9" s="64">
        <f>Sheet2!B117</f>
        <v>11201520</v>
      </c>
      <c r="C9" s="65">
        <f>Sheet2!C117</f>
        <v>9986929</v>
      </c>
      <c r="D9" s="64">
        <v>0</v>
      </c>
      <c r="E9" s="64">
        <f t="shared" si="1"/>
        <v>9986929</v>
      </c>
      <c r="F9" s="64"/>
      <c r="G9" s="65">
        <f t="shared" si="0"/>
        <v>9986929</v>
      </c>
      <c r="H9" s="65">
        <v>4853929</v>
      </c>
      <c r="I9" s="64"/>
      <c r="J9" s="64">
        <v>2410440</v>
      </c>
      <c r="K9" s="64">
        <v>380880</v>
      </c>
      <c r="L9" s="64">
        <v>972840</v>
      </c>
      <c r="M9" s="64">
        <v>1209420</v>
      </c>
      <c r="N9" s="64">
        <v>0</v>
      </c>
      <c r="O9" s="64">
        <v>0</v>
      </c>
      <c r="P9" s="64">
        <v>159420</v>
      </c>
      <c r="Q9" s="250"/>
      <c r="R9" s="247"/>
      <c r="S9" s="247"/>
      <c r="T9" s="66"/>
      <c r="U9" s="66"/>
      <c r="V9" s="66"/>
      <c r="W9" s="66"/>
    </row>
    <row r="10" spans="1:23" s="45" customFormat="1">
      <c r="A10" s="62" t="s">
        <v>298</v>
      </c>
      <c r="B10" s="64">
        <f>Sheet2!B126</f>
        <v>938840</v>
      </c>
      <c r="C10" s="65">
        <f>Sheet2!C126</f>
        <v>456400</v>
      </c>
      <c r="D10" s="64">
        <v>0</v>
      </c>
      <c r="E10" s="64">
        <f t="shared" si="1"/>
        <v>456400</v>
      </c>
      <c r="F10" s="64"/>
      <c r="G10" s="65">
        <f t="shared" si="0"/>
        <v>456400</v>
      </c>
      <c r="H10" s="65">
        <v>303700</v>
      </c>
      <c r="I10" s="64">
        <v>42000</v>
      </c>
      <c r="J10" s="64">
        <v>32200</v>
      </c>
      <c r="K10" s="64">
        <v>0</v>
      </c>
      <c r="L10" s="64">
        <v>42000</v>
      </c>
      <c r="M10" s="64">
        <v>36500</v>
      </c>
      <c r="N10" s="64">
        <v>0</v>
      </c>
      <c r="O10" s="64">
        <v>0</v>
      </c>
      <c r="P10" s="64">
        <v>0</v>
      </c>
      <c r="Q10" s="250"/>
      <c r="R10" s="247"/>
      <c r="S10" s="247"/>
      <c r="T10" s="66"/>
      <c r="U10" s="66"/>
      <c r="V10" s="66"/>
      <c r="W10" s="66"/>
    </row>
    <row r="11" spans="1:23" s="45" customFormat="1">
      <c r="A11" s="62" t="s">
        <v>299</v>
      </c>
      <c r="B11" s="64">
        <f>Sheet2!B181</f>
        <v>4364467</v>
      </c>
      <c r="C11" s="65">
        <f>Sheet2!C181</f>
        <v>2653622.7999999998</v>
      </c>
      <c r="D11" s="64">
        <v>0</v>
      </c>
      <c r="E11" s="64">
        <f t="shared" si="1"/>
        <v>2653622.7999999998</v>
      </c>
      <c r="F11" s="64"/>
      <c r="G11" s="65">
        <f t="shared" si="0"/>
        <v>2653622.7999999998</v>
      </c>
      <c r="H11" s="65">
        <v>1202416</v>
      </c>
      <c r="I11" s="64">
        <v>40287.800000000003</v>
      </c>
      <c r="J11" s="64">
        <v>869466</v>
      </c>
      <c r="K11" s="64">
        <v>90088</v>
      </c>
      <c r="L11" s="64">
        <v>0</v>
      </c>
      <c r="M11" s="64">
        <v>264274</v>
      </c>
      <c r="N11" s="64">
        <v>107225</v>
      </c>
      <c r="O11" s="64">
        <v>42310</v>
      </c>
      <c r="P11" s="64">
        <v>37556</v>
      </c>
      <c r="Q11" s="250"/>
      <c r="R11" s="247"/>
      <c r="S11" s="247"/>
      <c r="T11" s="66"/>
      <c r="U11" s="66"/>
      <c r="V11" s="66"/>
      <c r="W11" s="66"/>
    </row>
    <row r="12" spans="1:23" s="45" customFormat="1">
      <c r="A12" s="62" t="s">
        <v>639</v>
      </c>
      <c r="B12" s="64">
        <f>Sheet2!B198</f>
        <v>1743008</v>
      </c>
      <c r="C12" s="65">
        <f>Sheet2!C198</f>
        <v>1389313.52</v>
      </c>
      <c r="D12" s="64">
        <v>0</v>
      </c>
      <c r="E12" s="64">
        <f t="shared" si="1"/>
        <v>1389313.52</v>
      </c>
      <c r="F12" s="64"/>
      <c r="G12" s="65">
        <f t="shared" si="0"/>
        <v>1389313.52</v>
      </c>
      <c r="H12" s="65">
        <v>371741</v>
      </c>
      <c r="I12" s="64">
        <v>5500</v>
      </c>
      <c r="J12" s="64">
        <v>824548.52</v>
      </c>
      <c r="K12" s="64">
        <v>49790</v>
      </c>
      <c r="L12" s="64">
        <v>0</v>
      </c>
      <c r="M12" s="64">
        <v>127734</v>
      </c>
      <c r="N12" s="64">
        <v>0</v>
      </c>
      <c r="O12" s="64">
        <v>0</v>
      </c>
      <c r="P12" s="64">
        <v>10000</v>
      </c>
      <c r="Q12" s="250"/>
      <c r="R12" s="247"/>
      <c r="S12" s="247"/>
      <c r="T12" s="66"/>
      <c r="U12" s="66"/>
      <c r="V12" s="66"/>
      <c r="W12" s="66"/>
    </row>
    <row r="13" spans="1:23" s="45" customFormat="1">
      <c r="A13" s="62" t="s">
        <v>74</v>
      </c>
      <c r="B13" s="64">
        <f>Sheet2!B205</f>
        <v>495000</v>
      </c>
      <c r="C13" s="65">
        <f>Sheet2!C205</f>
        <v>369736</v>
      </c>
      <c r="D13" s="64">
        <v>0</v>
      </c>
      <c r="E13" s="64">
        <f t="shared" si="1"/>
        <v>369736</v>
      </c>
      <c r="F13" s="64"/>
      <c r="G13" s="65">
        <f t="shared" si="0"/>
        <v>369736</v>
      </c>
      <c r="H13" s="65">
        <v>346352.61</v>
      </c>
      <c r="I13" s="64"/>
      <c r="J13" s="64">
        <v>23383.39</v>
      </c>
      <c r="K13" s="64">
        <v>0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250"/>
      <c r="R13" s="247"/>
      <c r="S13" s="247"/>
      <c r="T13" s="66"/>
      <c r="U13" s="66"/>
      <c r="V13" s="66"/>
      <c r="W13" s="66"/>
    </row>
    <row r="14" spans="1:23" s="45" customFormat="1">
      <c r="A14" s="62" t="s">
        <v>640</v>
      </c>
      <c r="B14" s="64">
        <f>Sheet2!B224</f>
        <v>197100</v>
      </c>
      <c r="C14" s="65">
        <f>Sheet2!C224-29900</f>
        <v>197100</v>
      </c>
      <c r="D14" s="64">
        <v>29900</v>
      </c>
      <c r="E14" s="64">
        <f t="shared" si="1"/>
        <v>227000</v>
      </c>
      <c r="F14" s="64"/>
      <c r="G14" s="65">
        <f t="shared" si="0"/>
        <v>227000</v>
      </c>
      <c r="H14" s="65">
        <v>57300</v>
      </c>
      <c r="I14" s="64">
        <v>7500</v>
      </c>
      <c r="J14" s="64">
        <v>68400</v>
      </c>
      <c r="K14" s="64">
        <v>7000</v>
      </c>
      <c r="L14" s="64">
        <v>38300</v>
      </c>
      <c r="M14" s="64">
        <v>40500</v>
      </c>
      <c r="N14" s="64">
        <v>0</v>
      </c>
      <c r="O14" s="64">
        <v>0</v>
      </c>
      <c r="P14" s="64">
        <v>8000</v>
      </c>
      <c r="Q14" s="250"/>
      <c r="R14" s="247"/>
      <c r="S14" s="247"/>
      <c r="T14" s="66"/>
      <c r="U14" s="66"/>
      <c r="V14" s="66"/>
      <c r="W14" s="66"/>
    </row>
    <row r="15" spans="1:23" s="45" customFormat="1">
      <c r="A15" s="62" t="s">
        <v>641</v>
      </c>
      <c r="B15" s="64">
        <f>Sheet2!B233</f>
        <v>4164945</v>
      </c>
      <c r="C15" s="65">
        <f>Sheet2!C233</f>
        <v>3711600</v>
      </c>
      <c r="D15" s="64">
        <v>0</v>
      </c>
      <c r="E15" s="64">
        <f t="shared" si="1"/>
        <v>3711600</v>
      </c>
      <c r="F15" s="64">
        <v>2508500</v>
      </c>
      <c r="G15" s="65">
        <f t="shared" si="0"/>
        <v>6220100</v>
      </c>
      <c r="H15" s="65">
        <v>0</v>
      </c>
      <c r="I15" s="64"/>
      <c r="J15" s="64">
        <v>153600</v>
      </c>
      <c r="K15" s="64">
        <v>0</v>
      </c>
      <c r="L15" s="64">
        <v>0</v>
      </c>
      <c r="M15" s="64">
        <v>2903000</v>
      </c>
      <c r="N15" s="64">
        <v>0</v>
      </c>
      <c r="O15" s="64">
        <v>0</v>
      </c>
      <c r="P15" s="64">
        <v>655000</v>
      </c>
      <c r="Q15" s="64"/>
      <c r="R15" s="64"/>
      <c r="S15" s="247"/>
      <c r="T15" s="66"/>
      <c r="U15" s="66"/>
    </row>
    <row r="16" spans="1:23" s="45" customFormat="1">
      <c r="A16" s="62" t="s">
        <v>292</v>
      </c>
      <c r="B16" s="64">
        <v>0</v>
      </c>
      <c r="C16" s="65">
        <v>0</v>
      </c>
      <c r="D16" s="64">
        <v>0</v>
      </c>
      <c r="E16" s="64">
        <f t="shared" si="1"/>
        <v>0</v>
      </c>
      <c r="F16" s="64"/>
      <c r="G16" s="65"/>
      <c r="H16" s="65">
        <v>0</v>
      </c>
      <c r="I16" s="64"/>
      <c r="J16" s="64">
        <v>0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/>
      <c r="R16" s="247"/>
      <c r="S16" s="247"/>
      <c r="T16" s="66"/>
      <c r="U16" s="66"/>
      <c r="V16" s="66"/>
      <c r="W16" s="66"/>
    </row>
    <row r="17" spans="1:23" s="45" customFormat="1">
      <c r="A17" s="62" t="s">
        <v>293</v>
      </c>
      <c r="B17" s="64">
        <f>Sheet2!B213</f>
        <v>1933000</v>
      </c>
      <c r="C17" s="65">
        <f>Sheet2!C213</f>
        <v>1831000</v>
      </c>
      <c r="D17" s="64">
        <v>0</v>
      </c>
      <c r="E17" s="64">
        <f t="shared" si="1"/>
        <v>1831000</v>
      </c>
      <c r="F17" s="64"/>
      <c r="G17" s="65">
        <f>SUM(E17:F17)</f>
        <v>1831000</v>
      </c>
      <c r="H17" s="65">
        <v>0</v>
      </c>
      <c r="I17" s="64"/>
      <c r="J17" s="64">
        <v>1466000</v>
      </c>
      <c r="K17" s="64">
        <v>340000</v>
      </c>
      <c r="L17" s="64">
        <v>0</v>
      </c>
      <c r="M17" s="64">
        <v>0</v>
      </c>
      <c r="N17" s="64">
        <v>25000</v>
      </c>
      <c r="O17" s="64">
        <v>0</v>
      </c>
      <c r="P17" s="64">
        <v>0</v>
      </c>
      <c r="Q17" s="64"/>
      <c r="R17" s="247"/>
      <c r="S17" s="247"/>
      <c r="T17" s="66"/>
      <c r="U17" s="66"/>
      <c r="V17" s="66"/>
      <c r="W17" s="66"/>
    </row>
    <row r="18" spans="1:23" s="45" customFormat="1">
      <c r="A18" s="69" t="s">
        <v>35</v>
      </c>
      <c r="B18" s="67">
        <f>SUM(B7:B17)</f>
        <v>43267600</v>
      </c>
      <c r="C18" s="70">
        <f>SUM(C7:C17)</f>
        <v>38275377.769999996</v>
      </c>
      <c r="D18" s="75">
        <f>SUM(D7:D17)</f>
        <v>29900</v>
      </c>
      <c r="E18" s="67">
        <f>SUM(E7:E17)</f>
        <v>38305277.769999996</v>
      </c>
      <c r="F18" s="67">
        <f>SUM(F6:F17)</f>
        <v>2983700</v>
      </c>
      <c r="G18" s="67">
        <f>SUM(G6:G17)</f>
        <v>41288977.769999996</v>
      </c>
      <c r="H18" s="67">
        <f t="shared" ref="H18:P18" si="2">SUM(H8:H17)</f>
        <v>9972238.6099999994</v>
      </c>
      <c r="I18" s="67">
        <f>SUM(I6:I17)</f>
        <v>95287.8</v>
      </c>
      <c r="J18" s="67">
        <f t="shared" si="2"/>
        <v>5848037.9100000001</v>
      </c>
      <c r="K18" s="67">
        <f t="shared" si="2"/>
        <v>867758</v>
      </c>
      <c r="L18" s="67">
        <f t="shared" si="2"/>
        <v>1053140</v>
      </c>
      <c r="M18" s="67">
        <f t="shared" si="2"/>
        <v>4581428</v>
      </c>
      <c r="N18" s="67">
        <f t="shared" si="2"/>
        <v>132225</v>
      </c>
      <c r="O18" s="67">
        <f t="shared" si="2"/>
        <v>42310</v>
      </c>
      <c r="P18" s="67">
        <f t="shared" si="2"/>
        <v>869976</v>
      </c>
      <c r="Q18" s="67">
        <f>SUM(Q7:Q17)</f>
        <v>14842876.449999999</v>
      </c>
      <c r="R18" s="248"/>
      <c r="S18" s="247"/>
      <c r="T18" s="66"/>
      <c r="U18" s="66"/>
    </row>
    <row r="19" spans="1:23" ht="17.25">
      <c r="A19" s="71" t="s">
        <v>107</v>
      </c>
      <c r="B19" s="72"/>
      <c r="C19" s="72"/>
      <c r="D19" s="62"/>
      <c r="E19" s="62"/>
      <c r="F19" s="62"/>
      <c r="G19" s="379"/>
      <c r="H19" s="72"/>
      <c r="I19" s="68"/>
      <c r="J19" s="72"/>
      <c r="K19" s="72"/>
      <c r="L19" s="72"/>
      <c r="M19" s="72"/>
      <c r="N19" s="72"/>
      <c r="O19" s="72"/>
      <c r="P19" s="72"/>
      <c r="Q19" s="72"/>
      <c r="S19" s="485"/>
      <c r="T19" s="485"/>
      <c r="U19" s="485"/>
    </row>
    <row r="20" spans="1:23" ht="17.25">
      <c r="A20" s="62" t="s">
        <v>108</v>
      </c>
      <c r="B20" s="64">
        <f>Sheet2!B13</f>
        <v>346200</v>
      </c>
      <c r="C20" s="65">
        <f>Sheet2!C13</f>
        <v>308538.83</v>
      </c>
      <c r="D20" s="64">
        <v>0</v>
      </c>
      <c r="E20" s="64">
        <f t="shared" ref="E20:E26" si="3">SUM(C20:D20)</f>
        <v>308538.83</v>
      </c>
      <c r="F20" s="64"/>
      <c r="G20" s="380">
        <f t="shared" ref="G20:G27" si="4">SUM(E20:F20)</f>
        <v>308538.83</v>
      </c>
      <c r="H20" s="64">
        <v>0</v>
      </c>
      <c r="I20" s="66"/>
      <c r="J20" s="64">
        <v>0</v>
      </c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S20" s="486"/>
      <c r="T20" s="485"/>
      <c r="U20" s="485"/>
    </row>
    <row r="21" spans="1:23" ht="17.25">
      <c r="A21" s="62" t="s">
        <v>109</v>
      </c>
      <c r="B21" s="64">
        <f>Sheet2!B40</f>
        <v>289400</v>
      </c>
      <c r="C21" s="65">
        <f>Sheet2!C40</f>
        <v>209703</v>
      </c>
      <c r="D21" s="64">
        <v>0</v>
      </c>
      <c r="E21" s="64">
        <f t="shared" si="3"/>
        <v>209703</v>
      </c>
      <c r="F21" s="64"/>
      <c r="G21" s="380">
        <f t="shared" si="4"/>
        <v>209703</v>
      </c>
      <c r="H21" s="64">
        <v>0</v>
      </c>
      <c r="I21" s="66"/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  <c r="Q21" s="64">
        <v>0</v>
      </c>
    </row>
    <row r="22" spans="1:23" ht="17.25">
      <c r="A22" s="62" t="s">
        <v>294</v>
      </c>
      <c r="B22" s="64">
        <f>Sheet2!B43</f>
        <v>161000</v>
      </c>
      <c r="C22" s="65">
        <f>Sheet2!C43</f>
        <v>215707.94</v>
      </c>
      <c r="D22" s="64">
        <v>0</v>
      </c>
      <c r="E22" s="64">
        <f t="shared" si="3"/>
        <v>215707.94</v>
      </c>
      <c r="F22" s="64"/>
      <c r="G22" s="380">
        <f t="shared" si="4"/>
        <v>215707.94</v>
      </c>
      <c r="H22" s="64">
        <v>0</v>
      </c>
      <c r="I22" s="66"/>
      <c r="J22" s="64">
        <v>0</v>
      </c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T22" s="487"/>
    </row>
    <row r="23" spans="1:23" ht="17.25">
      <c r="A23" s="62" t="s">
        <v>110</v>
      </c>
      <c r="B23" s="64">
        <f>Sheet2!B52</f>
        <v>20800</v>
      </c>
      <c r="C23" s="65">
        <f>Sheet2!C52</f>
        <v>2272</v>
      </c>
      <c r="D23" s="64">
        <v>0</v>
      </c>
      <c r="E23" s="64">
        <f t="shared" si="3"/>
        <v>2272</v>
      </c>
      <c r="F23" s="64"/>
      <c r="G23" s="380">
        <f t="shared" si="4"/>
        <v>2272</v>
      </c>
      <c r="H23" s="64">
        <v>0</v>
      </c>
      <c r="I23" s="66"/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</row>
    <row r="24" spans="1:23" ht="17.25">
      <c r="A24" s="62" t="s">
        <v>111</v>
      </c>
      <c r="B24" s="64">
        <f>Sheet2!B55</f>
        <v>6000</v>
      </c>
      <c r="C24" s="65">
        <f>Sheet2!C55</f>
        <v>0</v>
      </c>
      <c r="D24" s="64">
        <v>0</v>
      </c>
      <c r="E24" s="64">
        <f t="shared" si="3"/>
        <v>0</v>
      </c>
      <c r="F24" s="64"/>
      <c r="G24" s="380">
        <f t="shared" si="4"/>
        <v>0</v>
      </c>
      <c r="H24" s="64">
        <v>0</v>
      </c>
      <c r="I24" s="66"/>
      <c r="J24" s="64">
        <v>0</v>
      </c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</row>
    <row r="25" spans="1:23" ht="17.25">
      <c r="A25" s="62" t="s">
        <v>295</v>
      </c>
      <c r="B25" s="64">
        <f>Sheet2!B25</f>
        <v>18246645</v>
      </c>
      <c r="C25" s="65">
        <f>Sheet2!C25</f>
        <v>19553508.639999997</v>
      </c>
      <c r="D25" s="64">
        <v>0</v>
      </c>
      <c r="E25" s="64">
        <f t="shared" si="3"/>
        <v>19553508.639999997</v>
      </c>
      <c r="F25" s="64"/>
      <c r="G25" s="380">
        <f t="shared" si="4"/>
        <v>19553508.639999997</v>
      </c>
      <c r="H25" s="64">
        <v>0</v>
      </c>
      <c r="I25" s="66"/>
      <c r="J25" s="64">
        <v>0</v>
      </c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</row>
    <row r="26" spans="1:23" ht="17.25">
      <c r="A26" s="62" t="s">
        <v>112</v>
      </c>
      <c r="B26" s="64">
        <f>Sheet2!B61</f>
        <v>24197555</v>
      </c>
      <c r="C26" s="65">
        <f>Sheet2!C58</f>
        <v>23872332</v>
      </c>
      <c r="D26" s="64">
        <v>0</v>
      </c>
      <c r="E26" s="64">
        <f t="shared" si="3"/>
        <v>23872332</v>
      </c>
      <c r="F26" s="64"/>
      <c r="G26" s="380">
        <f t="shared" si="4"/>
        <v>23872332</v>
      </c>
      <c r="H26" s="64">
        <v>0</v>
      </c>
      <c r="I26" s="66"/>
      <c r="J26" s="64">
        <v>0</v>
      </c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</row>
    <row r="27" spans="1:23" ht="17.25">
      <c r="A27" s="62" t="s">
        <v>296</v>
      </c>
      <c r="B27" s="250">
        <v>0</v>
      </c>
      <c r="C27" s="64">
        <f>'[2]งบรับ-จ่ายรวมเงินอุดหนุน'!C58</f>
        <v>0</v>
      </c>
      <c r="D27" s="64">
        <v>29900</v>
      </c>
      <c r="E27" s="64">
        <v>29900</v>
      </c>
      <c r="F27" s="64"/>
      <c r="G27" s="380">
        <f t="shared" si="4"/>
        <v>29900</v>
      </c>
      <c r="H27" s="381">
        <v>0</v>
      </c>
      <c r="I27" s="66"/>
      <c r="J27" s="64">
        <v>0</v>
      </c>
      <c r="K27" s="64">
        <v>0</v>
      </c>
      <c r="L27" s="64"/>
      <c r="M27" s="64">
        <v>0</v>
      </c>
      <c r="N27" s="64">
        <v>0</v>
      </c>
      <c r="O27" s="64">
        <v>0</v>
      </c>
      <c r="P27" s="64">
        <v>0</v>
      </c>
      <c r="Q27" s="64">
        <v>0</v>
      </c>
    </row>
    <row r="28" spans="1:23" ht="17.25">
      <c r="A28" s="73" t="s">
        <v>35</v>
      </c>
      <c r="B28" s="74">
        <f>SUM(B20:B27)</f>
        <v>43267600</v>
      </c>
      <c r="C28" s="75">
        <f>SUM(C20:C27)</f>
        <v>44162062.409999996</v>
      </c>
      <c r="D28" s="75">
        <f>SUM(D20:D27)</f>
        <v>29900</v>
      </c>
      <c r="E28" s="75">
        <f>SUM(E19:E27)</f>
        <v>44191962.409999996</v>
      </c>
      <c r="F28" s="75"/>
      <c r="G28" s="75">
        <f>SUM(G19:G27)</f>
        <v>44191962.409999996</v>
      </c>
      <c r="H28" s="75">
        <f t="shared" ref="H28:M28" si="5">SUM(H20:H27)</f>
        <v>0</v>
      </c>
      <c r="I28" s="75"/>
      <c r="J28" s="75">
        <f t="shared" si="5"/>
        <v>0</v>
      </c>
      <c r="K28" s="75">
        <f t="shared" si="5"/>
        <v>0</v>
      </c>
      <c r="L28" s="75">
        <f t="shared" si="5"/>
        <v>0</v>
      </c>
      <c r="M28" s="75">
        <f t="shared" si="5"/>
        <v>0</v>
      </c>
      <c r="N28" s="75">
        <f>SUM(N20:N27)</f>
        <v>0</v>
      </c>
      <c r="O28" s="75">
        <f>SUM(O20:O27)</f>
        <v>0</v>
      </c>
      <c r="P28" s="75">
        <f>SUM(P20:P27)</f>
        <v>0</v>
      </c>
      <c r="Q28" s="75">
        <f>SUM(Q20:Q27)</f>
        <v>0</v>
      </c>
    </row>
    <row r="29" spans="1:23" thickBot="1">
      <c r="A29" s="797" t="s">
        <v>784</v>
      </c>
      <c r="B29" s="798"/>
      <c r="C29" s="488"/>
      <c r="D29" s="488"/>
      <c r="E29" s="489">
        <f>E28-E18</f>
        <v>5886684.6400000006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8"/>
    </row>
    <row r="30" spans="1:23" thickTop="1">
      <c r="A30" s="657"/>
      <c r="B30" s="658"/>
      <c r="C30" s="488"/>
      <c r="D30" s="488"/>
      <c r="E30" s="659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8"/>
    </row>
    <row r="31" spans="1:23" s="491" customFormat="1" ht="18.75">
      <c r="A31" s="491" t="s">
        <v>1315</v>
      </c>
      <c r="B31" s="354"/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</row>
    <row r="32" spans="1:23" s="45" customFormat="1" ht="21">
      <c r="B32" s="354" t="s">
        <v>801</v>
      </c>
      <c r="C32" s="354"/>
      <c r="D32" s="247"/>
      <c r="E32" s="247"/>
      <c r="F32" s="354" t="s">
        <v>1316</v>
      </c>
      <c r="H32" s="354"/>
      <c r="I32" s="606"/>
      <c r="J32" s="354" t="s">
        <v>803</v>
      </c>
      <c r="K32" s="354"/>
      <c r="L32" s="354"/>
    </row>
    <row r="33" spans="1:12" s="45" customFormat="1" ht="18.75">
      <c r="B33" s="806" t="s">
        <v>786</v>
      </c>
      <c r="C33" s="806"/>
      <c r="D33" s="68"/>
      <c r="E33" s="68"/>
      <c r="F33" s="805" t="s">
        <v>788</v>
      </c>
      <c r="G33" s="805"/>
      <c r="H33" s="805"/>
      <c r="J33" s="805" t="s">
        <v>788</v>
      </c>
      <c r="K33" s="805"/>
      <c r="L33" s="805"/>
    </row>
    <row r="34" spans="1:12" s="45" customFormat="1" ht="18.75">
      <c r="A34" s="68"/>
      <c r="B34" s="806" t="s">
        <v>22</v>
      </c>
      <c r="C34" s="806"/>
      <c r="D34" s="68"/>
      <c r="E34" s="68"/>
      <c r="F34" s="805" t="s">
        <v>787</v>
      </c>
      <c r="G34" s="805"/>
      <c r="H34" s="805"/>
      <c r="J34" s="805" t="s">
        <v>789</v>
      </c>
      <c r="K34" s="805"/>
      <c r="L34" s="805"/>
    </row>
    <row r="35" spans="1:12" s="45" customFormat="1" ht="18.75">
      <c r="B35" s="267"/>
      <c r="C35" s="285"/>
      <c r="D35" s="247"/>
      <c r="E35" s="247"/>
      <c r="J35" s="805" t="s">
        <v>790</v>
      </c>
      <c r="K35" s="805"/>
      <c r="L35" s="805"/>
    </row>
    <row r="36" spans="1:12">
      <c r="A36" s="77"/>
      <c r="E36" s="68"/>
      <c r="F36" s="68"/>
      <c r="G36" s="68"/>
    </row>
    <row r="37" spans="1:12">
      <c r="A37" s="77"/>
      <c r="E37" s="68"/>
      <c r="F37" s="68"/>
      <c r="G37" s="68"/>
    </row>
    <row r="38" spans="1:12">
      <c r="E38" s="68"/>
      <c r="F38" s="68"/>
      <c r="G38" s="68"/>
    </row>
    <row r="39" spans="1:12" ht="18.75">
      <c r="E39" s="68"/>
      <c r="F39" s="68"/>
      <c r="G39" s="68"/>
      <c r="J39" s="492"/>
      <c r="K39" s="493"/>
    </row>
    <row r="40" spans="1:12">
      <c r="E40" s="247"/>
      <c r="F40" s="247"/>
      <c r="G40" s="247"/>
      <c r="J40" s="494"/>
    </row>
    <row r="41" spans="1:12">
      <c r="A41" s="487"/>
      <c r="E41" s="68"/>
      <c r="F41" s="68"/>
      <c r="G41" s="68"/>
    </row>
    <row r="42" spans="1:12">
      <c r="B42" s="77"/>
      <c r="E42" s="68"/>
      <c r="F42" s="68"/>
      <c r="G42" s="68"/>
    </row>
    <row r="43" spans="1:12">
      <c r="E43" s="247"/>
      <c r="F43" s="247"/>
      <c r="G43" s="247"/>
    </row>
  </sheetData>
  <mergeCells count="28">
    <mergeCell ref="B33:C33"/>
    <mergeCell ref="F33:H33"/>
    <mergeCell ref="J33:L33"/>
    <mergeCell ref="A1:Q1"/>
    <mergeCell ref="A2:Q2"/>
    <mergeCell ref="A3:Q3"/>
    <mergeCell ref="A4:A5"/>
    <mergeCell ref="B4:B5"/>
    <mergeCell ref="H4:H5"/>
    <mergeCell ref="J4:J5"/>
    <mergeCell ref="K4:K5"/>
    <mergeCell ref="F4:F5"/>
    <mergeCell ref="B34:C34"/>
    <mergeCell ref="F34:H34"/>
    <mergeCell ref="J34:L34"/>
    <mergeCell ref="J35:L35"/>
    <mergeCell ref="Q4:Q5"/>
    <mergeCell ref="A29:B29"/>
    <mergeCell ref="E4:E5"/>
    <mergeCell ref="L4:L5"/>
    <mergeCell ref="M4:M5"/>
    <mergeCell ref="N4:N5"/>
    <mergeCell ref="O4:O5"/>
    <mergeCell ref="P4:P5"/>
    <mergeCell ref="C4:C5"/>
    <mergeCell ref="D4:D5"/>
    <mergeCell ref="G4:G5"/>
    <mergeCell ref="I4:I5"/>
  </mergeCells>
  <pageMargins left="0.25" right="0.2" top="0.38" bottom="0.25" header="0.31496062992125984" footer="0.31496062992125984"/>
  <pageSetup paperSize="9" scale="80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X41"/>
  <sheetViews>
    <sheetView zoomScale="120" zoomScaleNormal="120" workbookViewId="0">
      <selection activeCell="F37" sqref="F37"/>
    </sheetView>
  </sheetViews>
  <sheetFormatPr defaultRowHeight="18"/>
  <cols>
    <col min="1" max="1" width="19.125" style="44" customWidth="1"/>
    <col min="2" max="2" width="9.75" style="44" customWidth="1"/>
    <col min="3" max="3" width="10.375" style="45" customWidth="1"/>
    <col min="4" max="4" width="7" style="45" customWidth="1"/>
    <col min="5" max="5" width="9.75" style="45" customWidth="1"/>
    <col min="6" max="6" width="9.125" style="45" customWidth="1"/>
    <col min="7" max="7" width="7.75" style="45" customWidth="1"/>
    <col min="8" max="8" width="9.375" style="45" customWidth="1"/>
    <col min="9" max="9" width="9.25" style="44" customWidth="1"/>
    <col min="10" max="10" width="7.375" style="44" customWidth="1"/>
    <col min="11" max="12" width="8.625" style="44" customWidth="1"/>
    <col min="13" max="13" width="8.5" style="44" customWidth="1"/>
    <col min="14" max="14" width="9.125" style="44" customWidth="1"/>
    <col min="15" max="15" width="7.5" style="44" customWidth="1"/>
    <col min="16" max="16" width="6.875" style="44" customWidth="1"/>
    <col min="17" max="17" width="8.625" style="44" customWidth="1"/>
    <col min="18" max="18" width="11.5" style="44" customWidth="1"/>
    <col min="19" max="19" width="11.125" style="44" customWidth="1"/>
    <col min="20" max="20" width="11.875" style="44" customWidth="1"/>
    <col min="21" max="16384" width="9" style="44"/>
  </cols>
  <sheetData>
    <row r="1" spans="1:24" ht="15.75">
      <c r="A1" s="801" t="s">
        <v>264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  <c r="P1" s="801"/>
      <c r="Q1" s="801"/>
      <c r="R1" s="801"/>
    </row>
    <row r="2" spans="1:24" ht="15.75">
      <c r="A2" s="801" t="s">
        <v>1182</v>
      </c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</row>
    <row r="3" spans="1:24" ht="15.75">
      <c r="A3" s="801" t="s">
        <v>1105</v>
      </c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  <c r="O3" s="801"/>
      <c r="P3" s="801"/>
      <c r="Q3" s="801"/>
      <c r="R3" s="801"/>
    </row>
    <row r="4" spans="1:24" ht="18" customHeight="1">
      <c r="A4" s="807" t="s">
        <v>291</v>
      </c>
      <c r="B4" s="807" t="s">
        <v>66</v>
      </c>
      <c r="C4" s="799" t="s">
        <v>113</v>
      </c>
      <c r="D4" s="799" t="s">
        <v>130</v>
      </c>
      <c r="E4" s="807" t="s">
        <v>35</v>
      </c>
      <c r="F4" s="807" t="s">
        <v>1181</v>
      </c>
      <c r="G4" s="807" t="s">
        <v>1183</v>
      </c>
      <c r="H4" s="807" t="s">
        <v>35</v>
      </c>
      <c r="I4" s="807" t="s">
        <v>97</v>
      </c>
      <c r="J4" s="807" t="s">
        <v>98</v>
      </c>
      <c r="K4" s="807" t="s">
        <v>99</v>
      </c>
      <c r="L4" s="807" t="s">
        <v>100</v>
      </c>
      <c r="M4" s="807" t="s">
        <v>101</v>
      </c>
      <c r="N4" s="807" t="s">
        <v>102</v>
      </c>
      <c r="O4" s="807" t="s">
        <v>103</v>
      </c>
      <c r="P4" s="807" t="s">
        <v>104</v>
      </c>
      <c r="Q4" s="807" t="s">
        <v>105</v>
      </c>
      <c r="R4" s="807" t="s">
        <v>67</v>
      </c>
    </row>
    <row r="5" spans="1:24" ht="80.25" customHeight="1">
      <c r="A5" s="808"/>
      <c r="B5" s="808"/>
      <c r="C5" s="800"/>
      <c r="D5" s="800"/>
      <c r="E5" s="808"/>
      <c r="F5" s="808"/>
      <c r="G5" s="808"/>
      <c r="H5" s="808"/>
      <c r="I5" s="808"/>
      <c r="J5" s="808"/>
      <c r="K5" s="808"/>
      <c r="L5" s="808"/>
      <c r="M5" s="808"/>
      <c r="N5" s="808"/>
      <c r="O5" s="808"/>
      <c r="P5" s="808"/>
      <c r="Q5" s="808"/>
      <c r="R5" s="808"/>
    </row>
    <row r="6" spans="1:24" s="45" customFormat="1">
      <c r="A6" s="61" t="s">
        <v>96</v>
      </c>
      <c r="B6" s="62"/>
      <c r="C6" s="63"/>
      <c r="D6" s="72"/>
      <c r="E6" s="72"/>
      <c r="F6" s="72"/>
      <c r="G6" s="72"/>
      <c r="H6" s="63"/>
      <c r="I6" s="63"/>
      <c r="J6" s="62"/>
      <c r="K6" s="62"/>
      <c r="L6" s="62"/>
      <c r="M6" s="62"/>
      <c r="N6" s="62"/>
      <c r="O6" s="62"/>
      <c r="P6" s="62"/>
      <c r="Q6" s="62"/>
      <c r="R6" s="63"/>
      <c r="U6" s="245"/>
      <c r="V6" s="245"/>
      <c r="W6" s="246"/>
      <c r="X6" s="246"/>
    </row>
    <row r="7" spans="1:24" s="45" customFormat="1">
      <c r="A7" s="62" t="s">
        <v>297</v>
      </c>
      <c r="B7" s="64">
        <f>งบกลาง!D19</f>
        <v>15110400</v>
      </c>
      <c r="C7" s="65">
        <f>Sheet2!C101</f>
        <v>14842876.449999999</v>
      </c>
      <c r="D7" s="64">
        <v>0</v>
      </c>
      <c r="E7" s="64">
        <f>I7+J7+K7+L7+M7+N7+O7+P7+Q7+R7</f>
        <v>14842876.449999999</v>
      </c>
      <c r="F7" s="64">
        <v>475200</v>
      </c>
      <c r="G7" s="64"/>
      <c r="H7" s="65">
        <f t="shared" ref="H7:H15" si="0">SUM(E7:F7)</f>
        <v>15318076.449999999</v>
      </c>
      <c r="I7" s="65"/>
      <c r="J7" s="64"/>
      <c r="K7" s="64">
        <v>0</v>
      </c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14842876.449999999</v>
      </c>
      <c r="S7" s="247"/>
      <c r="T7" s="247"/>
      <c r="U7" s="66"/>
      <c r="V7" s="66"/>
      <c r="W7" s="66"/>
      <c r="X7" s="66"/>
    </row>
    <row r="8" spans="1:24" s="45" customFormat="1">
      <c r="A8" s="62" t="s">
        <v>121</v>
      </c>
      <c r="B8" s="64">
        <f>Sheet2!B109</f>
        <v>3119320</v>
      </c>
      <c r="C8" s="65">
        <f>Sheet2!C109</f>
        <v>2836800</v>
      </c>
      <c r="D8" s="64">
        <v>0</v>
      </c>
      <c r="E8" s="64">
        <f t="shared" ref="E8:E17" si="1">I8+J8+K8+L8+M8+N8+O8+P8+Q8+R8</f>
        <v>2836800</v>
      </c>
      <c r="F8" s="64"/>
      <c r="G8" s="64"/>
      <c r="H8" s="65">
        <f t="shared" si="0"/>
        <v>2836800</v>
      </c>
      <c r="I8" s="65">
        <v>2836800</v>
      </c>
      <c r="J8" s="64"/>
      <c r="K8" s="64"/>
      <c r="L8" s="64">
        <v>0</v>
      </c>
      <c r="M8" s="64">
        <v>0</v>
      </c>
      <c r="N8" s="64">
        <v>0</v>
      </c>
      <c r="O8" s="64">
        <v>0</v>
      </c>
      <c r="P8" s="64">
        <v>0</v>
      </c>
      <c r="Q8" s="64">
        <v>0</v>
      </c>
      <c r="R8" s="250"/>
      <c r="S8" s="247"/>
      <c r="T8" s="247"/>
      <c r="U8" s="66"/>
      <c r="V8" s="66"/>
      <c r="W8" s="66"/>
      <c r="X8" s="66"/>
    </row>
    <row r="9" spans="1:24" s="45" customFormat="1">
      <c r="A9" s="62" t="s">
        <v>122</v>
      </c>
      <c r="B9" s="64">
        <f>Sheet2!B117</f>
        <v>11201520</v>
      </c>
      <c r="C9" s="65">
        <f>Sheet2!C117</f>
        <v>9986929</v>
      </c>
      <c r="D9" s="64">
        <v>0</v>
      </c>
      <c r="E9" s="64">
        <f t="shared" si="1"/>
        <v>9986929</v>
      </c>
      <c r="F9" s="64"/>
      <c r="G9" s="64"/>
      <c r="H9" s="65">
        <f t="shared" si="0"/>
        <v>9986929</v>
      </c>
      <c r="I9" s="65">
        <v>4853929</v>
      </c>
      <c r="J9" s="64"/>
      <c r="K9" s="64">
        <v>2410440</v>
      </c>
      <c r="L9" s="64">
        <v>380880</v>
      </c>
      <c r="M9" s="64">
        <v>972840</v>
      </c>
      <c r="N9" s="64">
        <v>1209420</v>
      </c>
      <c r="O9" s="64">
        <v>0</v>
      </c>
      <c r="P9" s="64">
        <v>0</v>
      </c>
      <c r="Q9" s="64">
        <v>159420</v>
      </c>
      <c r="R9" s="250"/>
      <c r="S9" s="247"/>
      <c r="T9" s="247"/>
      <c r="U9" s="66"/>
      <c r="V9" s="66"/>
      <c r="W9" s="66"/>
      <c r="X9" s="66"/>
    </row>
    <row r="10" spans="1:24" s="45" customFormat="1">
      <c r="A10" s="62" t="s">
        <v>298</v>
      </c>
      <c r="B10" s="64">
        <f>Sheet2!B126</f>
        <v>938840</v>
      </c>
      <c r="C10" s="65">
        <f>Sheet2!C126</f>
        <v>456400</v>
      </c>
      <c r="D10" s="64">
        <v>0</v>
      </c>
      <c r="E10" s="64">
        <f t="shared" si="1"/>
        <v>456400</v>
      </c>
      <c r="F10" s="64"/>
      <c r="G10" s="64"/>
      <c r="H10" s="65">
        <f t="shared" si="0"/>
        <v>456400</v>
      </c>
      <c r="I10" s="65">
        <v>303700</v>
      </c>
      <c r="J10" s="64">
        <v>42000</v>
      </c>
      <c r="K10" s="64">
        <v>32200</v>
      </c>
      <c r="L10" s="64">
        <v>0</v>
      </c>
      <c r="M10" s="64">
        <v>42000</v>
      </c>
      <c r="N10" s="64">
        <v>36500</v>
      </c>
      <c r="O10" s="64">
        <v>0</v>
      </c>
      <c r="P10" s="64">
        <v>0</v>
      </c>
      <c r="Q10" s="64">
        <v>0</v>
      </c>
      <c r="R10" s="250"/>
      <c r="S10" s="247"/>
      <c r="T10" s="247"/>
      <c r="U10" s="66"/>
      <c r="V10" s="66"/>
      <c r="W10" s="66"/>
      <c r="X10" s="66"/>
    </row>
    <row r="11" spans="1:24" s="45" customFormat="1">
      <c r="A11" s="62" t="s">
        <v>299</v>
      </c>
      <c r="B11" s="64">
        <f>Sheet2!B181</f>
        <v>4364467</v>
      </c>
      <c r="C11" s="65">
        <f>Sheet2!C181</f>
        <v>2653622.7999999998</v>
      </c>
      <c r="D11" s="64">
        <v>0</v>
      </c>
      <c r="E11" s="64">
        <f t="shared" si="1"/>
        <v>2653622.7999999998</v>
      </c>
      <c r="F11" s="64"/>
      <c r="G11" s="64"/>
      <c r="H11" s="65">
        <f t="shared" si="0"/>
        <v>2653622.7999999998</v>
      </c>
      <c r="I11" s="65">
        <v>1202416</v>
      </c>
      <c r="J11" s="64">
        <v>40287.800000000003</v>
      </c>
      <c r="K11" s="64">
        <v>869466</v>
      </c>
      <c r="L11" s="64">
        <v>90088</v>
      </c>
      <c r="M11" s="64">
        <v>0</v>
      </c>
      <c r="N11" s="64">
        <v>264274</v>
      </c>
      <c r="O11" s="64">
        <v>107225</v>
      </c>
      <c r="P11" s="64">
        <v>42310</v>
      </c>
      <c r="Q11" s="64">
        <v>37556</v>
      </c>
      <c r="R11" s="250"/>
      <c r="S11" s="247"/>
      <c r="T11" s="247"/>
      <c r="U11" s="66"/>
      <c r="V11" s="66"/>
      <c r="W11" s="66"/>
      <c r="X11" s="66"/>
    </row>
    <row r="12" spans="1:24" s="45" customFormat="1">
      <c r="A12" s="62" t="s">
        <v>639</v>
      </c>
      <c r="B12" s="64">
        <f>Sheet2!B198</f>
        <v>1743008</v>
      </c>
      <c r="C12" s="65">
        <f>Sheet2!C198</f>
        <v>1389313.52</v>
      </c>
      <c r="D12" s="64">
        <v>0</v>
      </c>
      <c r="E12" s="64">
        <f t="shared" si="1"/>
        <v>1389313.52</v>
      </c>
      <c r="F12" s="64"/>
      <c r="G12" s="64"/>
      <c r="H12" s="65">
        <f t="shared" si="0"/>
        <v>1389313.52</v>
      </c>
      <c r="I12" s="65">
        <v>371741</v>
      </c>
      <c r="J12" s="64">
        <v>5500</v>
      </c>
      <c r="K12" s="64">
        <v>824548.52</v>
      </c>
      <c r="L12" s="64">
        <v>49790</v>
      </c>
      <c r="M12" s="64">
        <v>0</v>
      </c>
      <c r="N12" s="64">
        <v>127734</v>
      </c>
      <c r="O12" s="64">
        <v>0</v>
      </c>
      <c r="P12" s="64">
        <v>0</v>
      </c>
      <c r="Q12" s="64">
        <v>10000</v>
      </c>
      <c r="R12" s="250"/>
      <c r="S12" s="247"/>
      <c r="T12" s="247"/>
      <c r="U12" s="66"/>
      <c r="V12" s="66"/>
      <c r="W12" s="66"/>
      <c r="X12" s="66"/>
    </row>
    <row r="13" spans="1:24" s="45" customFormat="1">
      <c r="A13" s="62" t="s">
        <v>74</v>
      </c>
      <c r="B13" s="64">
        <f>Sheet2!B205</f>
        <v>495000</v>
      </c>
      <c r="C13" s="65">
        <f>Sheet2!C205</f>
        <v>369736</v>
      </c>
      <c r="D13" s="64">
        <v>0</v>
      </c>
      <c r="E13" s="64">
        <f t="shared" si="1"/>
        <v>369736</v>
      </c>
      <c r="F13" s="64"/>
      <c r="G13" s="64"/>
      <c r="H13" s="65">
        <f t="shared" si="0"/>
        <v>369736</v>
      </c>
      <c r="I13" s="65">
        <v>346352.61</v>
      </c>
      <c r="J13" s="64"/>
      <c r="K13" s="64">
        <v>23383.39</v>
      </c>
      <c r="L13" s="64">
        <v>0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250"/>
      <c r="S13" s="247"/>
      <c r="T13" s="247"/>
      <c r="U13" s="66"/>
      <c r="V13" s="66"/>
      <c r="W13" s="66"/>
      <c r="X13" s="66"/>
    </row>
    <row r="14" spans="1:24" s="45" customFormat="1">
      <c r="A14" s="62" t="s">
        <v>640</v>
      </c>
      <c r="B14" s="64">
        <f>Sheet2!B224</f>
        <v>197100</v>
      </c>
      <c r="C14" s="65">
        <f>Sheet2!C224-29900</f>
        <v>197100</v>
      </c>
      <c r="D14" s="64">
        <v>29900</v>
      </c>
      <c r="E14" s="64">
        <f t="shared" si="1"/>
        <v>227000</v>
      </c>
      <c r="F14" s="64"/>
      <c r="G14" s="64"/>
      <c r="H14" s="65">
        <f t="shared" si="0"/>
        <v>227000</v>
      </c>
      <c r="I14" s="65">
        <v>57300</v>
      </c>
      <c r="J14" s="64">
        <v>7500</v>
      </c>
      <c r="K14" s="64">
        <v>68400</v>
      </c>
      <c r="L14" s="64">
        <v>7000</v>
      </c>
      <c r="M14" s="64">
        <v>38300</v>
      </c>
      <c r="N14" s="64">
        <v>40500</v>
      </c>
      <c r="O14" s="64">
        <v>0</v>
      </c>
      <c r="P14" s="64">
        <v>0</v>
      </c>
      <c r="Q14" s="64">
        <v>8000</v>
      </c>
      <c r="R14" s="250"/>
      <c r="S14" s="247"/>
      <c r="T14" s="247"/>
      <c r="U14" s="66"/>
      <c r="V14" s="66"/>
      <c r="W14" s="66"/>
      <c r="X14" s="66"/>
    </row>
    <row r="15" spans="1:24" s="45" customFormat="1">
      <c r="A15" s="62" t="s">
        <v>641</v>
      </c>
      <c r="B15" s="64">
        <f>Sheet2!B233</f>
        <v>4164945</v>
      </c>
      <c r="C15" s="65">
        <f>Sheet2!C233</f>
        <v>3711600</v>
      </c>
      <c r="D15" s="64">
        <v>0</v>
      </c>
      <c r="E15" s="64">
        <f t="shared" si="1"/>
        <v>3711600</v>
      </c>
      <c r="F15" s="64">
        <v>2508500</v>
      </c>
      <c r="G15" s="64"/>
      <c r="H15" s="65">
        <f t="shared" si="0"/>
        <v>6220100</v>
      </c>
      <c r="I15" s="65">
        <v>0</v>
      </c>
      <c r="J15" s="64"/>
      <c r="K15" s="64">
        <v>153600</v>
      </c>
      <c r="L15" s="64">
        <v>0</v>
      </c>
      <c r="M15" s="64">
        <v>0</v>
      </c>
      <c r="N15" s="64">
        <v>2903000</v>
      </c>
      <c r="O15" s="64">
        <v>0</v>
      </c>
      <c r="P15" s="64">
        <v>0</v>
      </c>
      <c r="Q15" s="64">
        <v>655000</v>
      </c>
      <c r="R15" s="64"/>
      <c r="S15" s="64"/>
      <c r="T15" s="247"/>
      <c r="U15" s="66"/>
      <c r="V15" s="66"/>
    </row>
    <row r="16" spans="1:24" s="45" customFormat="1">
      <c r="A16" s="62" t="s">
        <v>292</v>
      </c>
      <c r="B16" s="64">
        <v>0</v>
      </c>
      <c r="C16" s="65">
        <v>0</v>
      </c>
      <c r="D16" s="64">
        <v>0</v>
      </c>
      <c r="E16" s="64">
        <f t="shared" si="1"/>
        <v>0</v>
      </c>
      <c r="F16" s="64"/>
      <c r="G16" s="64"/>
      <c r="H16" s="65"/>
      <c r="I16" s="65">
        <v>0</v>
      </c>
      <c r="J16" s="64"/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/>
      <c r="S16" s="247"/>
      <c r="T16" s="247"/>
      <c r="U16" s="66"/>
      <c r="V16" s="66"/>
      <c r="W16" s="66"/>
      <c r="X16" s="66"/>
    </row>
    <row r="17" spans="1:24" s="45" customFormat="1">
      <c r="A17" s="62" t="s">
        <v>293</v>
      </c>
      <c r="B17" s="64">
        <f>Sheet2!B213</f>
        <v>1933000</v>
      </c>
      <c r="C17" s="65">
        <f>Sheet2!C213</f>
        <v>1831000</v>
      </c>
      <c r="D17" s="64">
        <v>0</v>
      </c>
      <c r="E17" s="64">
        <f t="shared" si="1"/>
        <v>1831000</v>
      </c>
      <c r="F17" s="64"/>
      <c r="G17" s="64"/>
      <c r="H17" s="65">
        <f>SUM(E17:F17)</f>
        <v>1831000</v>
      </c>
      <c r="I17" s="65">
        <v>0</v>
      </c>
      <c r="J17" s="64"/>
      <c r="K17" s="64">
        <v>1466000</v>
      </c>
      <c r="L17" s="64">
        <v>340000</v>
      </c>
      <c r="M17" s="64">
        <v>0</v>
      </c>
      <c r="N17" s="64">
        <v>0</v>
      </c>
      <c r="O17" s="64">
        <v>25000</v>
      </c>
      <c r="P17" s="64">
        <v>0</v>
      </c>
      <c r="Q17" s="64">
        <v>0</v>
      </c>
      <c r="R17" s="64"/>
      <c r="S17" s="247"/>
      <c r="T17" s="247"/>
      <c r="U17" s="66"/>
      <c r="V17" s="66"/>
      <c r="W17" s="66"/>
      <c r="X17" s="66"/>
    </row>
    <row r="18" spans="1:24" s="45" customFormat="1">
      <c r="A18" s="69" t="s">
        <v>35</v>
      </c>
      <c r="B18" s="67">
        <f>SUM(B7:B17)</f>
        <v>43267600</v>
      </c>
      <c r="C18" s="70">
        <f>SUM(C7:C17)</f>
        <v>38275377.769999996</v>
      </c>
      <c r="D18" s="75">
        <f>SUM(D7:D17)</f>
        <v>29900</v>
      </c>
      <c r="E18" s="67">
        <f>SUM(E7:E17)</f>
        <v>38305277.769999996</v>
      </c>
      <c r="F18" s="67">
        <f>SUM(F6:F17)</f>
        <v>2983700</v>
      </c>
      <c r="G18" s="67">
        <f>SUM(G6:G17)</f>
        <v>0</v>
      </c>
      <c r="H18" s="67">
        <f>SUM(H6:H17)</f>
        <v>41288977.769999996</v>
      </c>
      <c r="I18" s="67">
        <f t="shared" ref="I18:Q18" si="2">SUM(I8:I17)</f>
        <v>9972238.6099999994</v>
      </c>
      <c r="J18" s="67">
        <f>SUM(J6:J17)</f>
        <v>95287.8</v>
      </c>
      <c r="K18" s="67">
        <f t="shared" si="2"/>
        <v>5848037.9100000001</v>
      </c>
      <c r="L18" s="67">
        <f t="shared" si="2"/>
        <v>867758</v>
      </c>
      <c r="M18" s="67">
        <f t="shared" si="2"/>
        <v>1053140</v>
      </c>
      <c r="N18" s="67">
        <f t="shared" si="2"/>
        <v>4581428</v>
      </c>
      <c r="O18" s="67">
        <f t="shared" si="2"/>
        <v>132225</v>
      </c>
      <c r="P18" s="67">
        <f t="shared" si="2"/>
        <v>42310</v>
      </c>
      <c r="Q18" s="67">
        <f t="shared" si="2"/>
        <v>869976</v>
      </c>
      <c r="R18" s="67">
        <f>SUM(R7:R17)</f>
        <v>14842876.449999999</v>
      </c>
      <c r="S18" s="248"/>
      <c r="T18" s="247"/>
      <c r="U18" s="66"/>
      <c r="V18" s="66"/>
    </row>
    <row r="19" spans="1:24" ht="17.25">
      <c r="A19" s="71" t="s">
        <v>107</v>
      </c>
      <c r="B19" s="72"/>
      <c r="C19" s="72"/>
      <c r="D19" s="62"/>
      <c r="E19" s="62"/>
      <c r="F19" s="62"/>
      <c r="G19" s="62"/>
      <c r="H19" s="379"/>
      <c r="I19" s="72"/>
      <c r="J19" s="68"/>
      <c r="K19" s="72"/>
      <c r="L19" s="72"/>
      <c r="M19" s="72"/>
      <c r="N19" s="72"/>
      <c r="O19" s="72"/>
      <c r="P19" s="72"/>
      <c r="Q19" s="72"/>
      <c r="R19" s="72"/>
      <c r="T19" s="485"/>
      <c r="U19" s="485"/>
      <c r="V19" s="485"/>
    </row>
    <row r="20" spans="1:24" ht="17.25">
      <c r="A20" s="62" t="s">
        <v>108</v>
      </c>
      <c r="B20" s="64">
        <f>Sheet2!B13</f>
        <v>346200</v>
      </c>
      <c r="C20" s="65">
        <f>Sheet2!C13</f>
        <v>308538.83</v>
      </c>
      <c r="D20" s="64">
        <v>0</v>
      </c>
      <c r="E20" s="64">
        <f t="shared" ref="E20:E26" si="3">SUM(C20:D20)</f>
        <v>308538.83</v>
      </c>
      <c r="F20" s="64"/>
      <c r="G20" s="64"/>
      <c r="H20" s="380">
        <f t="shared" ref="H20:H27" si="4">SUM(E20:F20)</f>
        <v>308538.83</v>
      </c>
      <c r="I20" s="64">
        <v>0</v>
      </c>
      <c r="J20" s="66"/>
      <c r="K20" s="64">
        <v>0</v>
      </c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T20" s="486"/>
      <c r="U20" s="485"/>
      <c r="V20" s="485"/>
    </row>
    <row r="21" spans="1:24" ht="17.25">
      <c r="A21" s="62" t="s">
        <v>109</v>
      </c>
      <c r="B21" s="64">
        <f>Sheet2!B40</f>
        <v>289400</v>
      </c>
      <c r="C21" s="65">
        <f>Sheet2!C40</f>
        <v>209703</v>
      </c>
      <c r="D21" s="64">
        <v>0</v>
      </c>
      <c r="E21" s="64">
        <f t="shared" si="3"/>
        <v>209703</v>
      </c>
      <c r="F21" s="64"/>
      <c r="G21" s="64"/>
      <c r="H21" s="380">
        <f t="shared" si="4"/>
        <v>209703</v>
      </c>
      <c r="I21" s="64">
        <v>0</v>
      </c>
      <c r="J21" s="66"/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</row>
    <row r="22" spans="1:24" ht="17.25">
      <c r="A22" s="62" t="s">
        <v>294</v>
      </c>
      <c r="B22" s="64">
        <f>Sheet2!B43</f>
        <v>161000</v>
      </c>
      <c r="C22" s="65">
        <f>Sheet2!C43</f>
        <v>215707.94</v>
      </c>
      <c r="D22" s="64">
        <v>0</v>
      </c>
      <c r="E22" s="64">
        <f t="shared" si="3"/>
        <v>215707.94</v>
      </c>
      <c r="F22" s="64"/>
      <c r="G22" s="64"/>
      <c r="H22" s="380">
        <f t="shared" si="4"/>
        <v>215707.94</v>
      </c>
      <c r="I22" s="64">
        <v>0</v>
      </c>
      <c r="J22" s="66"/>
      <c r="K22" s="64">
        <v>0</v>
      </c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U22" s="487"/>
    </row>
    <row r="23" spans="1:24" ht="17.25">
      <c r="A23" s="62" t="s">
        <v>110</v>
      </c>
      <c r="B23" s="64">
        <f>Sheet2!B52</f>
        <v>20800</v>
      </c>
      <c r="C23" s="65">
        <f>Sheet2!C52</f>
        <v>2272</v>
      </c>
      <c r="D23" s="64">
        <v>0</v>
      </c>
      <c r="E23" s="64">
        <f t="shared" si="3"/>
        <v>2272</v>
      </c>
      <c r="F23" s="64"/>
      <c r="G23" s="64"/>
      <c r="H23" s="380">
        <f t="shared" si="4"/>
        <v>2272</v>
      </c>
      <c r="I23" s="64">
        <v>0</v>
      </c>
      <c r="J23" s="66"/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</row>
    <row r="24" spans="1:24" ht="17.25">
      <c r="A24" s="62" t="s">
        <v>111</v>
      </c>
      <c r="B24" s="64">
        <f>Sheet2!B55</f>
        <v>6000</v>
      </c>
      <c r="C24" s="65">
        <f>Sheet2!C55</f>
        <v>0</v>
      </c>
      <c r="D24" s="64">
        <v>0</v>
      </c>
      <c r="E24" s="64">
        <f t="shared" si="3"/>
        <v>0</v>
      </c>
      <c r="F24" s="64"/>
      <c r="G24" s="64"/>
      <c r="H24" s="380">
        <f t="shared" si="4"/>
        <v>0</v>
      </c>
      <c r="I24" s="64">
        <v>0</v>
      </c>
      <c r="J24" s="66"/>
      <c r="K24" s="64">
        <v>0</v>
      </c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</row>
    <row r="25" spans="1:24" ht="17.25">
      <c r="A25" s="62" t="s">
        <v>295</v>
      </c>
      <c r="B25" s="64">
        <f>Sheet2!B25</f>
        <v>18246645</v>
      </c>
      <c r="C25" s="65">
        <f>Sheet2!C25</f>
        <v>19553508.639999997</v>
      </c>
      <c r="D25" s="64">
        <v>0</v>
      </c>
      <c r="E25" s="64">
        <f t="shared" si="3"/>
        <v>19553508.639999997</v>
      </c>
      <c r="F25" s="64"/>
      <c r="G25" s="64"/>
      <c r="H25" s="380">
        <f t="shared" si="4"/>
        <v>19553508.639999997</v>
      </c>
      <c r="I25" s="64">
        <v>0</v>
      </c>
      <c r="J25" s="66"/>
      <c r="K25" s="64">
        <v>0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</row>
    <row r="26" spans="1:24" ht="17.25">
      <c r="A26" s="62" t="s">
        <v>112</v>
      </c>
      <c r="B26" s="64">
        <f>Sheet2!B61</f>
        <v>24197555</v>
      </c>
      <c r="C26" s="65">
        <f>Sheet2!C58</f>
        <v>23872332</v>
      </c>
      <c r="D26" s="64">
        <v>0</v>
      </c>
      <c r="E26" s="64">
        <f t="shared" si="3"/>
        <v>23872332</v>
      </c>
      <c r="F26" s="64"/>
      <c r="G26" s="64"/>
      <c r="H26" s="380">
        <f t="shared" si="4"/>
        <v>23872332</v>
      </c>
      <c r="I26" s="64">
        <v>0</v>
      </c>
      <c r="J26" s="66"/>
      <c r="K26" s="64">
        <v>0</v>
      </c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</row>
    <row r="27" spans="1:24" ht="17.25">
      <c r="A27" s="62" t="s">
        <v>296</v>
      </c>
      <c r="B27" s="250">
        <v>0</v>
      </c>
      <c r="C27" s="64">
        <f>'[2]งบรับ-จ่ายรวมเงินอุดหนุน'!C58</f>
        <v>0</v>
      </c>
      <c r="D27" s="64">
        <v>29900</v>
      </c>
      <c r="E27" s="64">
        <v>29900</v>
      </c>
      <c r="F27" s="64"/>
      <c r="G27" s="64"/>
      <c r="H27" s="380">
        <f t="shared" si="4"/>
        <v>29900</v>
      </c>
      <c r="I27" s="381">
        <v>0</v>
      </c>
      <c r="J27" s="66"/>
      <c r="K27" s="64">
        <v>0</v>
      </c>
      <c r="L27" s="64">
        <v>0</v>
      </c>
      <c r="M27" s="64"/>
      <c r="N27" s="64">
        <v>0</v>
      </c>
      <c r="O27" s="64">
        <v>0</v>
      </c>
      <c r="P27" s="64">
        <v>0</v>
      </c>
      <c r="Q27" s="64">
        <v>0</v>
      </c>
      <c r="R27" s="64">
        <v>0</v>
      </c>
    </row>
    <row r="28" spans="1:24" ht="17.25">
      <c r="A28" s="73" t="s">
        <v>35</v>
      </c>
      <c r="B28" s="74">
        <f>SUM(B20:B27)</f>
        <v>43267600</v>
      </c>
      <c r="C28" s="75">
        <f>SUM(C20:C27)</f>
        <v>44162062.409999996</v>
      </c>
      <c r="D28" s="75">
        <f>SUM(D20:D27)</f>
        <v>29900</v>
      </c>
      <c r="E28" s="75">
        <f>SUM(E19:E27)</f>
        <v>44191962.409999996</v>
      </c>
      <c r="F28" s="75"/>
      <c r="G28" s="75"/>
      <c r="H28" s="75">
        <f>SUM(H19:H27)</f>
        <v>44191962.409999996</v>
      </c>
      <c r="I28" s="75">
        <f t="shared" ref="I28:N28" si="5">SUM(I20:I27)</f>
        <v>0</v>
      </c>
      <c r="J28" s="75"/>
      <c r="K28" s="75">
        <f t="shared" si="5"/>
        <v>0</v>
      </c>
      <c r="L28" s="75">
        <f t="shared" si="5"/>
        <v>0</v>
      </c>
      <c r="M28" s="75">
        <f t="shared" si="5"/>
        <v>0</v>
      </c>
      <c r="N28" s="75">
        <f t="shared" si="5"/>
        <v>0</v>
      </c>
      <c r="O28" s="75">
        <f>SUM(O20:O27)</f>
        <v>0</v>
      </c>
      <c r="P28" s="75">
        <f>SUM(P20:P27)</f>
        <v>0</v>
      </c>
      <c r="Q28" s="75">
        <f>SUM(Q20:Q27)</f>
        <v>0</v>
      </c>
      <c r="R28" s="75">
        <f>SUM(R20:R27)</f>
        <v>0</v>
      </c>
    </row>
    <row r="29" spans="1:24" thickBot="1">
      <c r="A29" s="797" t="s">
        <v>784</v>
      </c>
      <c r="B29" s="798"/>
      <c r="C29" s="488"/>
      <c r="D29" s="488"/>
      <c r="E29" s="489">
        <f>E28-E18</f>
        <v>5886684.6400000006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8"/>
    </row>
    <row r="30" spans="1:24" s="491" customFormat="1" ht="19.5" thickTop="1">
      <c r="A30" s="491" t="s">
        <v>1315</v>
      </c>
      <c r="B30" s="354"/>
      <c r="C30" s="354"/>
      <c r="D30" s="354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</row>
    <row r="31" spans="1:24" s="45" customFormat="1" ht="21">
      <c r="B31" s="354" t="s">
        <v>801</v>
      </c>
      <c r="C31" s="354"/>
      <c r="D31" s="247"/>
      <c r="E31" s="247"/>
      <c r="F31" s="354" t="s">
        <v>802</v>
      </c>
      <c r="H31" s="354"/>
      <c r="I31" s="606"/>
      <c r="J31" s="354" t="s">
        <v>803</v>
      </c>
      <c r="K31" s="354"/>
      <c r="L31" s="354"/>
    </row>
    <row r="32" spans="1:24" s="45" customFormat="1" ht="18.75">
      <c r="B32" s="806" t="s">
        <v>786</v>
      </c>
      <c r="C32" s="806"/>
      <c r="D32" s="68"/>
      <c r="E32" s="68"/>
      <c r="F32" s="805" t="s">
        <v>788</v>
      </c>
      <c r="G32" s="805"/>
      <c r="H32" s="805"/>
      <c r="J32" s="805" t="s">
        <v>788</v>
      </c>
      <c r="K32" s="805"/>
      <c r="L32" s="805"/>
    </row>
    <row r="33" spans="1:12" s="45" customFormat="1" ht="18.75">
      <c r="A33" s="68"/>
      <c r="B33" s="806" t="s">
        <v>22</v>
      </c>
      <c r="C33" s="806"/>
      <c r="D33" s="68"/>
      <c r="E33" s="68"/>
      <c r="F33" s="805" t="s">
        <v>787</v>
      </c>
      <c r="G33" s="805"/>
      <c r="H33" s="805"/>
      <c r="J33" s="805" t="s">
        <v>789</v>
      </c>
      <c r="K33" s="805"/>
      <c r="L33" s="805"/>
    </row>
    <row r="34" spans="1:12" s="45" customFormat="1" ht="18.75">
      <c r="B34" s="267"/>
      <c r="C34" s="285"/>
      <c r="D34" s="247"/>
      <c r="E34" s="247"/>
      <c r="J34" s="805" t="s">
        <v>790</v>
      </c>
      <c r="K34" s="805"/>
      <c r="L34" s="805"/>
    </row>
    <row r="35" spans="1:12">
      <c r="A35" s="77"/>
      <c r="E35" s="68"/>
      <c r="F35" s="68"/>
      <c r="G35" s="68"/>
      <c r="H35" s="44"/>
    </row>
    <row r="36" spans="1:12">
      <c r="E36" s="68"/>
      <c r="F36" s="68"/>
      <c r="G36" s="68"/>
      <c r="H36" s="68"/>
    </row>
    <row r="37" spans="1:12" ht="18.75">
      <c r="E37" s="68"/>
      <c r="F37" s="68"/>
      <c r="G37" s="68"/>
      <c r="H37" s="68"/>
      <c r="K37" s="492"/>
      <c r="L37" s="493"/>
    </row>
    <row r="38" spans="1:12">
      <c r="E38" s="247"/>
      <c r="F38" s="247"/>
      <c r="G38" s="247"/>
      <c r="H38" s="247"/>
      <c r="K38" s="494"/>
    </row>
    <row r="39" spans="1:12">
      <c r="A39" s="487"/>
      <c r="E39" s="68"/>
      <c r="F39" s="68"/>
      <c r="G39" s="68"/>
      <c r="H39" s="68"/>
    </row>
    <row r="40" spans="1:12">
      <c r="B40" s="77"/>
      <c r="E40" s="68"/>
      <c r="F40" s="68"/>
      <c r="G40" s="68"/>
      <c r="H40" s="68"/>
    </row>
    <row r="41" spans="1:12">
      <c r="E41" s="247"/>
      <c r="F41" s="247"/>
      <c r="G41" s="247"/>
      <c r="H41" s="247"/>
    </row>
  </sheetData>
  <mergeCells count="29">
    <mergeCell ref="A1:R1"/>
    <mergeCell ref="A2:R2"/>
    <mergeCell ref="A3:R3"/>
    <mergeCell ref="R4:R5"/>
    <mergeCell ref="G4:G5"/>
    <mergeCell ref="A4:A5"/>
    <mergeCell ref="B4:B5"/>
    <mergeCell ref="C4:C5"/>
    <mergeCell ref="E4:E5"/>
    <mergeCell ref="F4:F5"/>
    <mergeCell ref="H4:H5"/>
    <mergeCell ref="I4:I5"/>
    <mergeCell ref="P4:P5"/>
    <mergeCell ref="Q4:Q5"/>
    <mergeCell ref="M4:M5"/>
    <mergeCell ref="N4:N5"/>
    <mergeCell ref="O4:O5"/>
    <mergeCell ref="A29:B29"/>
    <mergeCell ref="D4:D5"/>
    <mergeCell ref="J4:J5"/>
    <mergeCell ref="K4:K5"/>
    <mergeCell ref="L4:L5"/>
    <mergeCell ref="J34:L34"/>
    <mergeCell ref="B32:C32"/>
    <mergeCell ref="F32:H32"/>
    <mergeCell ref="J32:L32"/>
    <mergeCell ref="B33:C33"/>
    <mergeCell ref="F33:H33"/>
    <mergeCell ref="J33:L33"/>
  </mergeCells>
  <pageMargins left="0.2" right="0.2" top="0.42" bottom="0.32" header="0.31496062992125984" footer="0.31496062992125984"/>
  <pageSetup paperSize="9" scale="80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Y42"/>
  <sheetViews>
    <sheetView zoomScale="110" zoomScaleNormal="110" workbookViewId="0">
      <selection activeCell="C23" sqref="C23"/>
    </sheetView>
  </sheetViews>
  <sheetFormatPr defaultRowHeight="15.75"/>
  <cols>
    <col min="1" max="1" width="16.75" style="660" customWidth="1"/>
    <col min="2" max="2" width="9.625" style="660" customWidth="1"/>
    <col min="3" max="3" width="9.625" style="661" customWidth="1"/>
    <col min="4" max="4" width="7.875" style="661" customWidth="1"/>
    <col min="5" max="5" width="9.875" style="661" customWidth="1"/>
    <col min="6" max="6" width="9.5" style="661" customWidth="1"/>
    <col min="7" max="7" width="5.5" style="661" customWidth="1"/>
    <col min="8" max="8" width="4.375" style="661" customWidth="1"/>
    <col min="9" max="9" width="9.625" style="661" customWidth="1"/>
    <col min="10" max="10" width="9.25" style="660" customWidth="1"/>
    <col min="11" max="11" width="7.5" style="660" customWidth="1"/>
    <col min="12" max="12" width="9" style="660"/>
    <col min="13" max="13" width="8.5" style="660" customWidth="1"/>
    <col min="14" max="14" width="8.75" style="660" customWidth="1"/>
    <col min="15" max="15" width="9.25" style="660" bestFit="1" customWidth="1"/>
    <col min="16" max="16" width="8" style="660" customWidth="1"/>
    <col min="17" max="17" width="7.375" style="660" customWidth="1"/>
    <col min="18" max="18" width="9" style="660"/>
    <col min="19" max="19" width="9.25" style="660" customWidth="1"/>
    <col min="20" max="20" width="11.125" style="660" customWidth="1"/>
    <col min="21" max="21" width="11.875" style="660" customWidth="1"/>
    <col min="22" max="16384" width="9" style="660"/>
  </cols>
  <sheetData>
    <row r="1" spans="1:25">
      <c r="A1" s="801" t="s">
        <v>264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  <c r="M1" s="801"/>
      <c r="N1" s="801"/>
      <c r="O1" s="801"/>
      <c r="P1" s="801"/>
      <c r="Q1" s="801"/>
      <c r="R1" s="801"/>
      <c r="S1" s="801"/>
    </row>
    <row r="2" spans="1:25">
      <c r="A2" s="801" t="s">
        <v>1184</v>
      </c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</row>
    <row r="3" spans="1:25">
      <c r="A3" s="801" t="s">
        <v>1105</v>
      </c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  <c r="O3" s="801"/>
      <c r="P3" s="801"/>
      <c r="Q3" s="801"/>
      <c r="R3" s="801"/>
      <c r="S3" s="801"/>
    </row>
    <row r="4" spans="1:25" ht="18" customHeight="1">
      <c r="A4" s="799" t="s">
        <v>291</v>
      </c>
      <c r="B4" s="799" t="s">
        <v>66</v>
      </c>
      <c r="C4" s="799" t="s">
        <v>113</v>
      </c>
      <c r="D4" s="799" t="s">
        <v>130</v>
      </c>
      <c r="E4" s="799" t="s">
        <v>35</v>
      </c>
      <c r="F4" s="799" t="s">
        <v>1181</v>
      </c>
      <c r="G4" s="799" t="s">
        <v>1183</v>
      </c>
      <c r="H4" s="799" t="s">
        <v>34</v>
      </c>
      <c r="I4" s="799" t="s">
        <v>35</v>
      </c>
      <c r="J4" s="799" t="s">
        <v>97</v>
      </c>
      <c r="K4" s="799" t="s">
        <v>98</v>
      </c>
      <c r="L4" s="799" t="s">
        <v>99</v>
      </c>
      <c r="M4" s="799" t="s">
        <v>100</v>
      </c>
      <c r="N4" s="799" t="s">
        <v>101</v>
      </c>
      <c r="O4" s="799" t="s">
        <v>102</v>
      </c>
      <c r="P4" s="799" t="s">
        <v>103</v>
      </c>
      <c r="Q4" s="799" t="s">
        <v>104</v>
      </c>
      <c r="R4" s="799" t="s">
        <v>105</v>
      </c>
      <c r="S4" s="799" t="s">
        <v>67</v>
      </c>
    </row>
    <row r="5" spans="1:25" ht="102.75" customHeight="1">
      <c r="A5" s="804"/>
      <c r="B5" s="804"/>
      <c r="C5" s="804"/>
      <c r="D5" s="804"/>
      <c r="E5" s="804"/>
      <c r="F5" s="804"/>
      <c r="G5" s="804"/>
      <c r="H5" s="804"/>
      <c r="I5" s="804"/>
      <c r="J5" s="804"/>
      <c r="K5" s="804"/>
      <c r="L5" s="804"/>
      <c r="M5" s="804"/>
      <c r="N5" s="804"/>
      <c r="O5" s="804"/>
      <c r="P5" s="804"/>
      <c r="Q5" s="804"/>
      <c r="R5" s="804"/>
      <c r="S5" s="804"/>
    </row>
    <row r="6" spans="1:25" s="661" customFormat="1">
      <c r="A6" s="61" t="s">
        <v>96</v>
      </c>
      <c r="B6" s="62"/>
      <c r="C6" s="63"/>
      <c r="D6" s="72"/>
      <c r="E6" s="72"/>
      <c r="F6" s="72"/>
      <c r="G6" s="72"/>
      <c r="H6" s="72"/>
      <c r="I6" s="63"/>
      <c r="J6" s="63"/>
      <c r="K6" s="62"/>
      <c r="L6" s="62"/>
      <c r="M6" s="62"/>
      <c r="N6" s="62"/>
      <c r="O6" s="62"/>
      <c r="P6" s="62"/>
      <c r="Q6" s="62"/>
      <c r="R6" s="62"/>
      <c r="S6" s="63"/>
      <c r="V6" s="245"/>
      <c r="W6" s="245"/>
      <c r="X6" s="246"/>
      <c r="Y6" s="246"/>
    </row>
    <row r="7" spans="1:25" s="661" customFormat="1">
      <c r="A7" s="62" t="s">
        <v>297</v>
      </c>
      <c r="B7" s="64">
        <f>งบกลาง!D19</f>
        <v>15110400</v>
      </c>
      <c r="C7" s="65">
        <f>Sheet2!C101</f>
        <v>14842876.449999999</v>
      </c>
      <c r="D7" s="64">
        <v>0</v>
      </c>
      <c r="E7" s="64">
        <f>J7+K7+L7+M7+N7+O7+P7+Q7+R7+S7</f>
        <v>14842876.449999999</v>
      </c>
      <c r="F7" s="64">
        <v>475200</v>
      </c>
      <c r="G7" s="64"/>
      <c r="H7" s="64"/>
      <c r="I7" s="65">
        <f t="shared" ref="I7:I15" si="0">SUM(E7:F7)</f>
        <v>15318076.449999999</v>
      </c>
      <c r="J7" s="65"/>
      <c r="K7" s="64"/>
      <c r="L7" s="64">
        <v>0</v>
      </c>
      <c r="M7" s="64">
        <v>0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14842876.449999999</v>
      </c>
      <c r="T7" s="247"/>
      <c r="U7" s="247"/>
      <c r="V7" s="66"/>
      <c r="W7" s="66"/>
      <c r="X7" s="66"/>
      <c r="Y7" s="66"/>
    </row>
    <row r="8" spans="1:25" s="661" customFormat="1">
      <c r="A8" s="62" t="s">
        <v>121</v>
      </c>
      <c r="B8" s="64">
        <f>Sheet2!B109</f>
        <v>3119320</v>
      </c>
      <c r="C8" s="65">
        <f>Sheet2!C109</f>
        <v>2836800</v>
      </c>
      <c r="D8" s="64">
        <v>0</v>
      </c>
      <c r="E8" s="64">
        <f t="shared" ref="E8:E17" si="1">J8+K8+L8+M8+N8+O8+P8+Q8+R8+S8</f>
        <v>2836800</v>
      </c>
      <c r="F8" s="64"/>
      <c r="G8" s="64"/>
      <c r="H8" s="64"/>
      <c r="I8" s="65">
        <f t="shared" si="0"/>
        <v>2836800</v>
      </c>
      <c r="J8" s="65">
        <v>2836800</v>
      </c>
      <c r="K8" s="64"/>
      <c r="L8" s="64"/>
      <c r="M8" s="64">
        <v>0</v>
      </c>
      <c r="N8" s="64">
        <v>0</v>
      </c>
      <c r="O8" s="64">
        <v>0</v>
      </c>
      <c r="P8" s="64">
        <v>0</v>
      </c>
      <c r="Q8" s="64">
        <v>0</v>
      </c>
      <c r="R8" s="64">
        <v>0</v>
      </c>
      <c r="S8" s="250"/>
      <c r="T8" s="247"/>
      <c r="U8" s="247"/>
      <c r="V8" s="66"/>
      <c r="W8" s="66"/>
      <c r="X8" s="66"/>
      <c r="Y8" s="66"/>
    </row>
    <row r="9" spans="1:25" s="661" customFormat="1">
      <c r="A9" s="62" t="s">
        <v>122</v>
      </c>
      <c r="B9" s="64">
        <f>Sheet2!B117</f>
        <v>11201520</v>
      </c>
      <c r="C9" s="65">
        <f>Sheet2!C117</f>
        <v>9986929</v>
      </c>
      <c r="D9" s="64">
        <v>0</v>
      </c>
      <c r="E9" s="64">
        <f t="shared" si="1"/>
        <v>9986929</v>
      </c>
      <c r="F9" s="64"/>
      <c r="G9" s="64"/>
      <c r="H9" s="64"/>
      <c r="I9" s="65">
        <f t="shared" si="0"/>
        <v>9986929</v>
      </c>
      <c r="J9" s="65">
        <v>4853929</v>
      </c>
      <c r="K9" s="64"/>
      <c r="L9" s="64">
        <v>2410440</v>
      </c>
      <c r="M9" s="64">
        <v>380880</v>
      </c>
      <c r="N9" s="64">
        <v>972840</v>
      </c>
      <c r="O9" s="64">
        <v>1209420</v>
      </c>
      <c r="P9" s="64">
        <v>0</v>
      </c>
      <c r="Q9" s="64">
        <v>0</v>
      </c>
      <c r="R9" s="64">
        <v>159420</v>
      </c>
      <c r="S9" s="250"/>
      <c r="T9" s="247"/>
      <c r="U9" s="247"/>
      <c r="V9" s="66"/>
      <c r="W9" s="66"/>
      <c r="X9" s="66"/>
      <c r="Y9" s="66"/>
    </row>
    <row r="10" spans="1:25" s="661" customFormat="1">
      <c r="A10" s="62" t="s">
        <v>298</v>
      </c>
      <c r="B10" s="64">
        <f>Sheet2!B126</f>
        <v>938840</v>
      </c>
      <c r="C10" s="65">
        <f>Sheet2!C126</f>
        <v>456400</v>
      </c>
      <c r="D10" s="64">
        <v>0</v>
      </c>
      <c r="E10" s="64">
        <f t="shared" si="1"/>
        <v>456400</v>
      </c>
      <c r="F10" s="64"/>
      <c r="G10" s="64"/>
      <c r="H10" s="64"/>
      <c r="I10" s="65">
        <f t="shared" si="0"/>
        <v>456400</v>
      </c>
      <c r="J10" s="65">
        <v>303700</v>
      </c>
      <c r="K10" s="64">
        <v>42000</v>
      </c>
      <c r="L10" s="64">
        <v>32200</v>
      </c>
      <c r="M10" s="64">
        <v>0</v>
      </c>
      <c r="N10" s="64">
        <v>42000</v>
      </c>
      <c r="O10" s="64">
        <v>36500</v>
      </c>
      <c r="P10" s="64">
        <v>0</v>
      </c>
      <c r="Q10" s="64">
        <v>0</v>
      </c>
      <c r="R10" s="64">
        <v>0</v>
      </c>
      <c r="S10" s="250"/>
      <c r="T10" s="247"/>
      <c r="U10" s="247"/>
      <c r="V10" s="66"/>
      <c r="W10" s="66"/>
      <c r="X10" s="66"/>
      <c r="Y10" s="66"/>
    </row>
    <row r="11" spans="1:25" s="661" customFormat="1">
      <c r="A11" s="62" t="s">
        <v>299</v>
      </c>
      <c r="B11" s="64">
        <f>Sheet2!B181</f>
        <v>4364467</v>
      </c>
      <c r="C11" s="65">
        <f>Sheet2!C181</f>
        <v>2653622.7999999998</v>
      </c>
      <c r="D11" s="64">
        <v>0</v>
      </c>
      <c r="E11" s="64">
        <f t="shared" si="1"/>
        <v>2653622.7999999998</v>
      </c>
      <c r="F11" s="64"/>
      <c r="G11" s="64"/>
      <c r="H11" s="64"/>
      <c r="I11" s="65">
        <f t="shared" si="0"/>
        <v>2653622.7999999998</v>
      </c>
      <c r="J11" s="65">
        <v>1202416</v>
      </c>
      <c r="K11" s="64">
        <v>40287.800000000003</v>
      </c>
      <c r="L11" s="64">
        <v>869466</v>
      </c>
      <c r="M11" s="64">
        <v>90088</v>
      </c>
      <c r="N11" s="64">
        <v>0</v>
      </c>
      <c r="O11" s="64">
        <v>264274</v>
      </c>
      <c r="P11" s="64">
        <v>107225</v>
      </c>
      <c r="Q11" s="64">
        <v>42310</v>
      </c>
      <c r="R11" s="64">
        <v>37556</v>
      </c>
      <c r="S11" s="250"/>
      <c r="T11" s="247"/>
      <c r="U11" s="247"/>
      <c r="V11" s="66"/>
      <c r="W11" s="66"/>
      <c r="X11" s="66"/>
      <c r="Y11" s="66"/>
    </row>
    <row r="12" spans="1:25" s="661" customFormat="1">
      <c r="A12" s="62" t="s">
        <v>639</v>
      </c>
      <c r="B12" s="64">
        <f>Sheet2!B198</f>
        <v>1743008</v>
      </c>
      <c r="C12" s="65">
        <f>Sheet2!C198</f>
        <v>1389313.52</v>
      </c>
      <c r="D12" s="64">
        <v>0</v>
      </c>
      <c r="E12" s="64">
        <f t="shared" si="1"/>
        <v>1389313.52</v>
      </c>
      <c r="F12" s="64"/>
      <c r="G12" s="64"/>
      <c r="H12" s="64"/>
      <c r="I12" s="65">
        <f t="shared" si="0"/>
        <v>1389313.52</v>
      </c>
      <c r="J12" s="65">
        <v>371741</v>
      </c>
      <c r="K12" s="64">
        <v>5500</v>
      </c>
      <c r="L12" s="64">
        <v>824548.52</v>
      </c>
      <c r="M12" s="64">
        <v>49790</v>
      </c>
      <c r="N12" s="64">
        <v>0</v>
      </c>
      <c r="O12" s="64">
        <v>127734</v>
      </c>
      <c r="P12" s="64">
        <v>0</v>
      </c>
      <c r="Q12" s="64">
        <v>0</v>
      </c>
      <c r="R12" s="64">
        <v>10000</v>
      </c>
      <c r="S12" s="250"/>
      <c r="T12" s="247"/>
      <c r="U12" s="247"/>
      <c r="V12" s="66"/>
      <c r="W12" s="66"/>
      <c r="X12" s="66"/>
      <c r="Y12" s="66"/>
    </row>
    <row r="13" spans="1:25" s="661" customFormat="1">
      <c r="A13" s="62" t="s">
        <v>74</v>
      </c>
      <c r="B13" s="64">
        <f>Sheet2!B205</f>
        <v>495000</v>
      </c>
      <c r="C13" s="65">
        <f>Sheet2!C205</f>
        <v>369736</v>
      </c>
      <c r="D13" s="64">
        <v>0</v>
      </c>
      <c r="E13" s="64">
        <f t="shared" si="1"/>
        <v>369736</v>
      </c>
      <c r="F13" s="64"/>
      <c r="G13" s="64"/>
      <c r="H13" s="64"/>
      <c r="I13" s="65">
        <f t="shared" si="0"/>
        <v>369736</v>
      </c>
      <c r="J13" s="65">
        <v>346352.61</v>
      </c>
      <c r="K13" s="64"/>
      <c r="L13" s="64">
        <v>23383.39</v>
      </c>
      <c r="M13" s="64">
        <v>0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250"/>
      <c r="T13" s="247"/>
      <c r="U13" s="247"/>
      <c r="V13" s="66"/>
      <c r="W13" s="66"/>
      <c r="X13" s="66"/>
      <c r="Y13" s="66"/>
    </row>
    <row r="14" spans="1:25" s="661" customFormat="1">
      <c r="A14" s="62" t="s">
        <v>640</v>
      </c>
      <c r="B14" s="64">
        <f>Sheet2!B224</f>
        <v>197100</v>
      </c>
      <c r="C14" s="65">
        <f>Sheet2!C224-29900</f>
        <v>197100</v>
      </c>
      <c r="D14" s="64">
        <v>29900</v>
      </c>
      <c r="E14" s="64">
        <f t="shared" si="1"/>
        <v>227000</v>
      </c>
      <c r="F14" s="64"/>
      <c r="G14" s="64"/>
      <c r="H14" s="64"/>
      <c r="I14" s="65">
        <f t="shared" si="0"/>
        <v>227000</v>
      </c>
      <c r="J14" s="65">
        <v>57300</v>
      </c>
      <c r="K14" s="64">
        <v>7500</v>
      </c>
      <c r="L14" s="64">
        <v>68400</v>
      </c>
      <c r="M14" s="64">
        <v>7000</v>
      </c>
      <c r="N14" s="64">
        <v>38300</v>
      </c>
      <c r="O14" s="64">
        <v>40500</v>
      </c>
      <c r="P14" s="64">
        <v>0</v>
      </c>
      <c r="Q14" s="64">
        <v>0</v>
      </c>
      <c r="R14" s="64">
        <v>8000</v>
      </c>
      <c r="S14" s="250"/>
      <c r="T14" s="247"/>
      <c r="U14" s="247"/>
      <c r="V14" s="66"/>
      <c r="W14" s="66"/>
      <c r="X14" s="66"/>
      <c r="Y14" s="66"/>
    </row>
    <row r="15" spans="1:25" s="661" customFormat="1">
      <c r="A15" s="667" t="s">
        <v>641</v>
      </c>
      <c r="B15" s="64">
        <f>Sheet2!B233</f>
        <v>4164945</v>
      </c>
      <c r="C15" s="65">
        <f>Sheet2!C233</f>
        <v>3711600</v>
      </c>
      <c r="D15" s="64">
        <v>0</v>
      </c>
      <c r="E15" s="64">
        <f t="shared" si="1"/>
        <v>3711600</v>
      </c>
      <c r="F15" s="64">
        <v>2508500</v>
      </c>
      <c r="G15" s="64"/>
      <c r="H15" s="64"/>
      <c r="I15" s="65">
        <f t="shared" si="0"/>
        <v>6220100</v>
      </c>
      <c r="J15" s="65">
        <v>0</v>
      </c>
      <c r="K15" s="64"/>
      <c r="L15" s="64">
        <v>153600</v>
      </c>
      <c r="M15" s="64">
        <v>0</v>
      </c>
      <c r="N15" s="64">
        <v>0</v>
      </c>
      <c r="O15" s="64">
        <v>2903000</v>
      </c>
      <c r="P15" s="64">
        <v>0</v>
      </c>
      <c r="Q15" s="64">
        <v>0</v>
      </c>
      <c r="R15" s="64">
        <v>655000</v>
      </c>
      <c r="S15" s="64"/>
      <c r="T15" s="64"/>
      <c r="U15" s="247"/>
      <c r="V15" s="66"/>
      <c r="W15" s="66"/>
    </row>
    <row r="16" spans="1:25" s="661" customFormat="1">
      <c r="A16" s="62" t="s">
        <v>292</v>
      </c>
      <c r="B16" s="64">
        <v>0</v>
      </c>
      <c r="C16" s="65">
        <v>0</v>
      </c>
      <c r="D16" s="64">
        <v>0</v>
      </c>
      <c r="E16" s="64">
        <f t="shared" si="1"/>
        <v>0</v>
      </c>
      <c r="F16" s="64"/>
      <c r="G16" s="64"/>
      <c r="H16" s="64"/>
      <c r="I16" s="65"/>
      <c r="J16" s="65">
        <v>0</v>
      </c>
      <c r="K16" s="64"/>
      <c r="L16" s="64">
        <v>0</v>
      </c>
      <c r="M16" s="64">
        <v>0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4"/>
      <c r="T16" s="247"/>
      <c r="U16" s="247"/>
      <c r="V16" s="66"/>
      <c r="W16" s="66"/>
      <c r="X16" s="66"/>
      <c r="Y16" s="66"/>
    </row>
    <row r="17" spans="1:25" s="661" customFormat="1">
      <c r="A17" s="62" t="s">
        <v>293</v>
      </c>
      <c r="B17" s="64">
        <f>Sheet2!B213</f>
        <v>1933000</v>
      </c>
      <c r="C17" s="65">
        <f>Sheet2!C213</f>
        <v>1831000</v>
      </c>
      <c r="D17" s="64">
        <v>0</v>
      </c>
      <c r="E17" s="64">
        <f t="shared" si="1"/>
        <v>1831000</v>
      </c>
      <c r="F17" s="64"/>
      <c r="G17" s="64"/>
      <c r="H17" s="64"/>
      <c r="I17" s="65">
        <f>SUM(E17:F17)</f>
        <v>1831000</v>
      </c>
      <c r="J17" s="65">
        <v>0</v>
      </c>
      <c r="K17" s="64"/>
      <c r="L17" s="64">
        <v>1466000</v>
      </c>
      <c r="M17" s="64">
        <v>340000</v>
      </c>
      <c r="N17" s="64">
        <v>0</v>
      </c>
      <c r="O17" s="64">
        <v>0</v>
      </c>
      <c r="P17" s="64">
        <v>25000</v>
      </c>
      <c r="Q17" s="64">
        <v>0</v>
      </c>
      <c r="R17" s="64">
        <v>0</v>
      </c>
      <c r="S17" s="64"/>
      <c r="T17" s="247"/>
      <c r="U17" s="247"/>
      <c r="V17" s="66"/>
      <c r="W17" s="66"/>
      <c r="X17" s="66"/>
      <c r="Y17" s="66"/>
    </row>
    <row r="18" spans="1:25" s="661" customFormat="1">
      <c r="A18" s="69" t="s">
        <v>35</v>
      </c>
      <c r="B18" s="67">
        <f>SUM(B7:B17)</f>
        <v>43267600</v>
      </c>
      <c r="C18" s="70">
        <f>SUM(C7:C17)</f>
        <v>38275377.769999996</v>
      </c>
      <c r="D18" s="75">
        <f>SUM(D7:D17)</f>
        <v>29900</v>
      </c>
      <c r="E18" s="67">
        <f>SUM(E7:E17)</f>
        <v>38305277.769999996</v>
      </c>
      <c r="F18" s="67">
        <f>SUM(F6:F17)</f>
        <v>2983700</v>
      </c>
      <c r="G18" s="67">
        <f>SUM(G6:G17)</f>
        <v>0</v>
      </c>
      <c r="H18" s="67">
        <f>SUM(H6:H17)</f>
        <v>0</v>
      </c>
      <c r="I18" s="67">
        <f>SUM(I6:I17)</f>
        <v>41288977.769999996</v>
      </c>
      <c r="J18" s="67">
        <f t="shared" ref="J18:R18" si="2">SUM(J8:J17)</f>
        <v>9972238.6099999994</v>
      </c>
      <c r="K18" s="67">
        <f>SUM(K6:K17)</f>
        <v>95287.8</v>
      </c>
      <c r="L18" s="67">
        <f t="shared" si="2"/>
        <v>5848037.9100000001</v>
      </c>
      <c r="M18" s="67">
        <f t="shared" si="2"/>
        <v>867758</v>
      </c>
      <c r="N18" s="67">
        <f t="shared" si="2"/>
        <v>1053140</v>
      </c>
      <c r="O18" s="67">
        <f t="shared" si="2"/>
        <v>4581428</v>
      </c>
      <c r="P18" s="67">
        <f t="shared" si="2"/>
        <v>132225</v>
      </c>
      <c r="Q18" s="67">
        <f t="shared" si="2"/>
        <v>42310</v>
      </c>
      <c r="R18" s="67">
        <f t="shared" si="2"/>
        <v>869976</v>
      </c>
      <c r="S18" s="67">
        <f>SUM(S7:S17)</f>
        <v>14842876.449999999</v>
      </c>
      <c r="T18" s="662"/>
      <c r="U18" s="247"/>
      <c r="V18" s="66"/>
      <c r="W18" s="66"/>
    </row>
    <row r="19" spans="1:25">
      <c r="A19" s="71" t="s">
        <v>107</v>
      </c>
      <c r="B19" s="72"/>
      <c r="C19" s="72"/>
      <c r="D19" s="62"/>
      <c r="E19" s="62"/>
      <c r="F19" s="62"/>
      <c r="G19" s="62"/>
      <c r="H19" s="62"/>
      <c r="I19" s="379"/>
      <c r="J19" s="72"/>
      <c r="K19" s="68"/>
      <c r="L19" s="72"/>
      <c r="M19" s="72"/>
      <c r="N19" s="72"/>
      <c r="O19" s="72"/>
      <c r="P19" s="72"/>
      <c r="Q19" s="72"/>
      <c r="R19" s="72"/>
      <c r="S19" s="72"/>
      <c r="U19" s="485"/>
      <c r="V19" s="485"/>
      <c r="W19" s="485"/>
    </row>
    <row r="20" spans="1:25">
      <c r="A20" s="62" t="s">
        <v>108</v>
      </c>
      <c r="B20" s="64">
        <f>Sheet2!B13</f>
        <v>346200</v>
      </c>
      <c r="C20" s="65">
        <f>Sheet2!C13</f>
        <v>308538.83</v>
      </c>
      <c r="D20" s="64">
        <v>0</v>
      </c>
      <c r="E20" s="64">
        <f t="shared" ref="E20:E26" si="3">SUM(C20:D20)</f>
        <v>308538.83</v>
      </c>
      <c r="F20" s="64"/>
      <c r="G20" s="64"/>
      <c r="H20" s="64"/>
      <c r="I20" s="380">
        <f t="shared" ref="I20:I27" si="4">SUM(E20:F20)</f>
        <v>308538.83</v>
      </c>
      <c r="J20" s="64">
        <v>0</v>
      </c>
      <c r="K20" s="66"/>
      <c r="L20" s="64">
        <v>0</v>
      </c>
      <c r="M20" s="64">
        <v>0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U20" s="486"/>
      <c r="V20" s="485"/>
      <c r="W20" s="485"/>
    </row>
    <row r="21" spans="1:25">
      <c r="A21" s="667" t="s">
        <v>109</v>
      </c>
      <c r="B21" s="64">
        <f>Sheet2!B40</f>
        <v>289400</v>
      </c>
      <c r="C21" s="65">
        <f>Sheet2!C40</f>
        <v>209703</v>
      </c>
      <c r="D21" s="64">
        <v>0</v>
      </c>
      <c r="E21" s="64">
        <f t="shared" si="3"/>
        <v>209703</v>
      </c>
      <c r="F21" s="64"/>
      <c r="G21" s="64"/>
      <c r="H21" s="64"/>
      <c r="I21" s="380">
        <f t="shared" si="4"/>
        <v>209703</v>
      </c>
      <c r="J21" s="64">
        <v>0</v>
      </c>
      <c r="K21" s="66"/>
      <c r="L21" s="64">
        <v>0</v>
      </c>
      <c r="M21" s="64">
        <v>0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</row>
    <row r="22" spans="1:25">
      <c r="A22" s="62" t="s">
        <v>294</v>
      </c>
      <c r="B22" s="64">
        <f>Sheet2!B43</f>
        <v>161000</v>
      </c>
      <c r="C22" s="65">
        <f>Sheet2!C43</f>
        <v>215707.94</v>
      </c>
      <c r="D22" s="64">
        <v>0</v>
      </c>
      <c r="E22" s="64">
        <f t="shared" si="3"/>
        <v>215707.94</v>
      </c>
      <c r="F22" s="64"/>
      <c r="G22" s="64"/>
      <c r="H22" s="64"/>
      <c r="I22" s="380">
        <f t="shared" si="4"/>
        <v>215707.94</v>
      </c>
      <c r="J22" s="64">
        <v>0</v>
      </c>
      <c r="K22" s="66"/>
      <c r="L22" s="64">
        <v>0</v>
      </c>
      <c r="M22" s="64">
        <v>0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V22" s="487"/>
    </row>
    <row r="23" spans="1:25">
      <c r="A23" s="62" t="s">
        <v>110</v>
      </c>
      <c r="B23" s="64">
        <f>Sheet2!B52</f>
        <v>20800</v>
      </c>
      <c r="C23" s="65">
        <f>Sheet2!C52</f>
        <v>2272</v>
      </c>
      <c r="D23" s="64">
        <v>0</v>
      </c>
      <c r="E23" s="64">
        <f t="shared" si="3"/>
        <v>2272</v>
      </c>
      <c r="F23" s="64"/>
      <c r="G23" s="64"/>
      <c r="H23" s="64"/>
      <c r="I23" s="380">
        <f t="shared" si="4"/>
        <v>2272</v>
      </c>
      <c r="J23" s="64">
        <v>0</v>
      </c>
      <c r="K23" s="66"/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</row>
    <row r="24" spans="1:25">
      <c r="A24" s="62" t="s">
        <v>111</v>
      </c>
      <c r="B24" s="64">
        <f>Sheet2!B55</f>
        <v>6000</v>
      </c>
      <c r="C24" s="65">
        <f>Sheet2!C55</f>
        <v>0</v>
      </c>
      <c r="D24" s="64">
        <v>0</v>
      </c>
      <c r="E24" s="64">
        <f t="shared" si="3"/>
        <v>0</v>
      </c>
      <c r="F24" s="64"/>
      <c r="G24" s="64"/>
      <c r="H24" s="64"/>
      <c r="I24" s="380">
        <f t="shared" si="4"/>
        <v>0</v>
      </c>
      <c r="J24" s="64">
        <v>0</v>
      </c>
      <c r="K24" s="66"/>
      <c r="L24" s="64">
        <v>0</v>
      </c>
      <c r="M24" s="64">
        <v>0</v>
      </c>
      <c r="N24" s="64">
        <v>0</v>
      </c>
      <c r="O24" s="64">
        <v>0</v>
      </c>
      <c r="P24" s="64">
        <v>0</v>
      </c>
      <c r="Q24" s="64">
        <v>0</v>
      </c>
      <c r="R24" s="64">
        <v>0</v>
      </c>
      <c r="S24" s="64">
        <v>0</v>
      </c>
    </row>
    <row r="25" spans="1:25">
      <c r="A25" s="62" t="s">
        <v>295</v>
      </c>
      <c r="B25" s="64">
        <f>Sheet2!B25</f>
        <v>18246645</v>
      </c>
      <c r="C25" s="65">
        <f>Sheet2!C25</f>
        <v>19553508.639999997</v>
      </c>
      <c r="D25" s="64">
        <v>0</v>
      </c>
      <c r="E25" s="64">
        <f t="shared" si="3"/>
        <v>19553508.639999997</v>
      </c>
      <c r="F25" s="64"/>
      <c r="G25" s="64"/>
      <c r="H25" s="64"/>
      <c r="I25" s="380">
        <f t="shared" si="4"/>
        <v>19553508.639999997</v>
      </c>
      <c r="J25" s="64">
        <v>0</v>
      </c>
      <c r="K25" s="66"/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</row>
    <row r="26" spans="1:25">
      <c r="A26" s="62" t="s">
        <v>112</v>
      </c>
      <c r="B26" s="64">
        <f>Sheet2!B61</f>
        <v>24197555</v>
      </c>
      <c r="C26" s="65">
        <f>Sheet2!C58</f>
        <v>23872332</v>
      </c>
      <c r="D26" s="64">
        <v>0</v>
      </c>
      <c r="E26" s="64">
        <f t="shared" si="3"/>
        <v>23872332</v>
      </c>
      <c r="F26" s="64"/>
      <c r="G26" s="64"/>
      <c r="H26" s="64"/>
      <c r="I26" s="380">
        <f t="shared" si="4"/>
        <v>23872332</v>
      </c>
      <c r="J26" s="64">
        <v>0</v>
      </c>
      <c r="K26" s="66"/>
      <c r="L26" s="64">
        <v>0</v>
      </c>
      <c r="M26" s="64">
        <v>0</v>
      </c>
      <c r="N26" s="64">
        <v>0</v>
      </c>
      <c r="O26" s="64">
        <v>0</v>
      </c>
      <c r="P26" s="64">
        <v>0</v>
      </c>
      <c r="Q26" s="64">
        <v>0</v>
      </c>
      <c r="R26" s="64">
        <v>0</v>
      </c>
      <c r="S26" s="64">
        <v>0</v>
      </c>
    </row>
    <row r="27" spans="1:25">
      <c r="A27" s="62" t="s">
        <v>296</v>
      </c>
      <c r="B27" s="250">
        <v>0</v>
      </c>
      <c r="C27" s="64">
        <f>'[2]งบรับ-จ่ายรวมเงินอุดหนุน'!C58</f>
        <v>0</v>
      </c>
      <c r="D27" s="64">
        <v>29900</v>
      </c>
      <c r="E27" s="64">
        <v>29900</v>
      </c>
      <c r="F27" s="64"/>
      <c r="G27" s="64"/>
      <c r="H27" s="64"/>
      <c r="I27" s="380">
        <f t="shared" si="4"/>
        <v>29900</v>
      </c>
      <c r="J27" s="381">
        <v>0</v>
      </c>
      <c r="K27" s="66"/>
      <c r="L27" s="64">
        <v>0</v>
      </c>
      <c r="M27" s="64">
        <v>0</v>
      </c>
      <c r="N27" s="64"/>
      <c r="O27" s="64">
        <v>0</v>
      </c>
      <c r="P27" s="64">
        <v>0</v>
      </c>
      <c r="Q27" s="64">
        <v>0</v>
      </c>
      <c r="R27" s="64">
        <v>0</v>
      </c>
      <c r="S27" s="64">
        <v>0</v>
      </c>
    </row>
    <row r="28" spans="1:25">
      <c r="A28" s="73" t="s">
        <v>35</v>
      </c>
      <c r="B28" s="74">
        <f>SUM(B20:B27)</f>
        <v>43267600</v>
      </c>
      <c r="C28" s="75">
        <f>SUM(C20:C27)</f>
        <v>44162062.409999996</v>
      </c>
      <c r="D28" s="75">
        <f>SUM(D20:D27)</f>
        <v>29900</v>
      </c>
      <c r="E28" s="75">
        <f>SUM(E19:E27)</f>
        <v>44191962.409999996</v>
      </c>
      <c r="F28" s="75"/>
      <c r="G28" s="75"/>
      <c r="H28" s="75"/>
      <c r="I28" s="75">
        <f>SUM(I19:I27)</f>
        <v>44191962.409999996</v>
      </c>
      <c r="J28" s="75">
        <f t="shared" ref="J28:O28" si="5">SUM(J20:J27)</f>
        <v>0</v>
      </c>
      <c r="K28" s="75"/>
      <c r="L28" s="75">
        <f t="shared" si="5"/>
        <v>0</v>
      </c>
      <c r="M28" s="75">
        <f t="shared" si="5"/>
        <v>0</v>
      </c>
      <c r="N28" s="75">
        <f t="shared" si="5"/>
        <v>0</v>
      </c>
      <c r="O28" s="75">
        <f t="shared" si="5"/>
        <v>0</v>
      </c>
      <c r="P28" s="75">
        <f>SUM(P20:P27)</f>
        <v>0</v>
      </c>
      <c r="Q28" s="75">
        <f>SUM(Q20:Q27)</f>
        <v>0</v>
      </c>
      <c r="R28" s="75">
        <f>SUM(R20:R27)</f>
        <v>0</v>
      </c>
      <c r="S28" s="75">
        <f>SUM(S20:S27)</f>
        <v>0</v>
      </c>
    </row>
    <row r="29" spans="1:25" ht="16.5" thickBot="1">
      <c r="A29" s="797" t="s">
        <v>784</v>
      </c>
      <c r="B29" s="798"/>
      <c r="C29" s="488"/>
      <c r="D29" s="488"/>
      <c r="E29" s="489">
        <f>E28-E18</f>
        <v>5886684.6400000006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8"/>
    </row>
    <row r="30" spans="1:25" ht="16.5" thickTop="1">
      <c r="A30" s="490"/>
      <c r="B30" s="76"/>
      <c r="C30" s="663"/>
      <c r="D30" s="663"/>
      <c r="E30" s="664"/>
      <c r="F30" s="664"/>
      <c r="G30" s="664"/>
      <c r="H30" s="664"/>
      <c r="I30" s="664"/>
      <c r="J30" s="66"/>
      <c r="K30" s="66"/>
      <c r="L30" s="66"/>
      <c r="M30" s="66"/>
      <c r="N30" s="66"/>
      <c r="O30" s="66"/>
      <c r="P30" s="66"/>
      <c r="Q30" s="66"/>
      <c r="R30" s="66"/>
      <c r="S30" s="68"/>
    </row>
    <row r="31" spans="1:25" s="665" customFormat="1" ht="13.5">
      <c r="A31" s="665" t="s">
        <v>1315</v>
      </c>
      <c r="B31" s="663"/>
      <c r="C31" s="663"/>
      <c r="D31" s="663"/>
      <c r="E31" s="663"/>
      <c r="F31" s="663"/>
      <c r="G31" s="663"/>
      <c r="H31" s="663"/>
      <c r="I31" s="663"/>
      <c r="J31" s="663"/>
      <c r="K31" s="663"/>
      <c r="L31" s="663"/>
      <c r="M31" s="663"/>
      <c r="N31" s="663"/>
      <c r="O31" s="663"/>
      <c r="P31" s="663"/>
      <c r="Q31" s="663"/>
    </row>
    <row r="32" spans="1:25" s="661" customFormat="1">
      <c r="B32" s="663" t="s">
        <v>801</v>
      </c>
      <c r="C32" s="663"/>
      <c r="D32" s="247"/>
      <c r="E32" s="247"/>
      <c r="F32" s="663" t="s">
        <v>802</v>
      </c>
      <c r="H32" s="663"/>
      <c r="I32" s="606"/>
      <c r="J32" s="663" t="s">
        <v>803</v>
      </c>
      <c r="K32" s="663"/>
      <c r="L32" s="663"/>
    </row>
    <row r="33" spans="1:13" s="661" customFormat="1">
      <c r="B33" s="810" t="s">
        <v>786</v>
      </c>
      <c r="C33" s="810"/>
      <c r="D33" s="68"/>
      <c r="E33" s="68"/>
      <c r="F33" s="809" t="s">
        <v>788</v>
      </c>
      <c r="G33" s="809"/>
      <c r="H33" s="809"/>
      <c r="J33" s="809" t="s">
        <v>788</v>
      </c>
      <c r="K33" s="809"/>
      <c r="L33" s="809"/>
    </row>
    <row r="34" spans="1:13" s="661" customFormat="1">
      <c r="A34" s="68"/>
      <c r="B34" s="810" t="s">
        <v>22</v>
      </c>
      <c r="C34" s="810"/>
      <c r="D34" s="68"/>
      <c r="E34" s="68"/>
      <c r="F34" s="809" t="s">
        <v>787</v>
      </c>
      <c r="G34" s="809"/>
      <c r="H34" s="809"/>
      <c r="J34" s="809" t="s">
        <v>789</v>
      </c>
      <c r="K34" s="809"/>
      <c r="L34" s="809"/>
    </row>
    <row r="35" spans="1:13" s="661" customFormat="1">
      <c r="C35" s="68"/>
      <c r="D35" s="247"/>
      <c r="E35" s="247"/>
      <c r="J35" s="809" t="s">
        <v>790</v>
      </c>
      <c r="K35" s="809"/>
      <c r="L35" s="809"/>
    </row>
    <row r="36" spans="1:13">
      <c r="A36" s="77"/>
      <c r="E36" s="68"/>
      <c r="F36" s="68"/>
      <c r="G36" s="68"/>
      <c r="H36" s="660"/>
      <c r="I36" s="660"/>
    </row>
    <row r="37" spans="1:13">
      <c r="E37" s="68"/>
      <c r="F37" s="68"/>
      <c r="G37" s="68"/>
      <c r="H37" s="68"/>
      <c r="I37" s="68"/>
    </row>
    <row r="38" spans="1:13">
      <c r="E38" s="68"/>
      <c r="F38" s="68"/>
      <c r="G38" s="68"/>
      <c r="H38" s="68"/>
      <c r="I38" s="68"/>
      <c r="L38" s="666"/>
      <c r="M38" s="493"/>
    </row>
    <row r="39" spans="1:13">
      <c r="E39" s="247"/>
      <c r="F39" s="247"/>
      <c r="G39" s="247"/>
      <c r="H39" s="247"/>
      <c r="I39" s="247"/>
      <c r="L39" s="494"/>
    </row>
    <row r="40" spans="1:13">
      <c r="A40" s="487"/>
      <c r="E40" s="68"/>
      <c r="F40" s="68"/>
      <c r="G40" s="68"/>
      <c r="H40" s="68"/>
      <c r="I40" s="68"/>
    </row>
    <row r="41" spans="1:13">
      <c r="B41" s="77"/>
      <c r="E41" s="68"/>
      <c r="F41" s="68"/>
      <c r="G41" s="68"/>
      <c r="H41" s="68"/>
      <c r="I41" s="68"/>
    </row>
    <row r="42" spans="1:13">
      <c r="E42" s="247"/>
      <c r="F42" s="247"/>
      <c r="G42" s="247"/>
      <c r="H42" s="247"/>
      <c r="I42" s="247"/>
    </row>
  </sheetData>
  <mergeCells count="30">
    <mergeCell ref="A1:S1"/>
    <mergeCell ref="A2:S2"/>
    <mergeCell ref="A3:S3"/>
    <mergeCell ref="R4:R5"/>
    <mergeCell ref="S4:S5"/>
    <mergeCell ref="J4:J5"/>
    <mergeCell ref="K4:K5"/>
    <mergeCell ref="L4:L5"/>
    <mergeCell ref="M4:M5"/>
    <mergeCell ref="N4:N5"/>
    <mergeCell ref="O4:O5"/>
    <mergeCell ref="P4:P5"/>
    <mergeCell ref="Q4:Q5"/>
    <mergeCell ref="A29:B29"/>
    <mergeCell ref="G4:G5"/>
    <mergeCell ref="I4:I5"/>
    <mergeCell ref="H4:H5"/>
    <mergeCell ref="A4:A5"/>
    <mergeCell ref="B4:B5"/>
    <mergeCell ref="C4:C5"/>
    <mergeCell ref="D4:D5"/>
    <mergeCell ref="E4:E5"/>
    <mergeCell ref="F4:F5"/>
    <mergeCell ref="J35:L35"/>
    <mergeCell ref="B33:C33"/>
    <mergeCell ref="F33:H33"/>
    <mergeCell ref="J33:L33"/>
    <mergeCell ref="B34:C34"/>
    <mergeCell ref="F34:H34"/>
    <mergeCell ref="J34:L34"/>
  </mergeCells>
  <pageMargins left="0.2" right="0.2" top="0.36" bottom="0.32" header="0.31496062992125984" footer="0.31496062992125984"/>
  <pageSetup paperSize="9" scale="80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J17" sqref="J17"/>
    </sheetView>
  </sheetViews>
  <sheetFormatPr defaultRowHeight="23.25"/>
  <cols>
    <col min="1" max="1" width="3.25" style="607" customWidth="1"/>
    <col min="2" max="2" width="3.25" style="609" customWidth="1"/>
    <col min="3" max="3" width="54.25" style="610" customWidth="1"/>
    <col min="4" max="4" width="12.375" style="607" bestFit="1" customWidth="1"/>
    <col min="5" max="5" width="3.625" style="607" customWidth="1"/>
    <col min="6" max="6" width="14.5" style="611" bestFit="1" customWidth="1"/>
    <col min="7" max="16384" width="9" style="607"/>
  </cols>
  <sheetData>
    <row r="1" spans="1:7">
      <c r="A1" s="811" t="str">
        <f>งบแสดงฐานะ!A1</f>
        <v>องค์การบริหารส่วนตำบลบ้านกอก  อำเภอจัตุรัส  จังหวัดชัยภูมิ</v>
      </c>
      <c r="B1" s="811"/>
      <c r="C1" s="811"/>
      <c r="D1" s="811"/>
      <c r="E1" s="811"/>
      <c r="F1" s="811"/>
    </row>
    <row r="2" spans="1:7">
      <c r="A2" s="608" t="s">
        <v>1115</v>
      </c>
    </row>
    <row r="3" spans="1:7">
      <c r="A3" s="608"/>
      <c r="B3" s="612"/>
      <c r="D3" s="613" t="s">
        <v>32</v>
      </c>
      <c r="F3" s="614" t="s">
        <v>134</v>
      </c>
    </row>
    <row r="4" spans="1:7">
      <c r="A4" s="608" t="s">
        <v>136</v>
      </c>
      <c r="B4" s="612"/>
      <c r="D4" s="615"/>
    </row>
    <row r="5" spans="1:7">
      <c r="A5" s="616"/>
      <c r="B5" s="617" t="s">
        <v>27</v>
      </c>
      <c r="D5" s="618"/>
      <c r="G5" s="619"/>
    </row>
    <row r="6" spans="1:7" ht="24.75">
      <c r="A6" s="620"/>
      <c r="B6" s="621">
        <v>1</v>
      </c>
      <c r="C6" s="622" t="s">
        <v>644</v>
      </c>
      <c r="D6" s="361">
        <v>20500</v>
      </c>
      <c r="E6" s="623"/>
      <c r="F6" s="363" t="s">
        <v>137</v>
      </c>
    </row>
    <row r="7" spans="1:7" ht="24.75">
      <c r="A7" s="620"/>
      <c r="B7" s="621">
        <v>2</v>
      </c>
      <c r="C7" s="622" t="s">
        <v>642</v>
      </c>
      <c r="D7" s="361">
        <v>11500</v>
      </c>
      <c r="E7" s="623"/>
      <c r="F7" s="363" t="s">
        <v>137</v>
      </c>
    </row>
    <row r="8" spans="1:7" ht="24.75">
      <c r="A8" s="620"/>
      <c r="B8" s="621">
        <v>3</v>
      </c>
      <c r="C8" s="622" t="s">
        <v>1106</v>
      </c>
      <c r="D8" s="361">
        <v>6600</v>
      </c>
      <c r="E8" s="623"/>
      <c r="F8" s="363" t="s">
        <v>137</v>
      </c>
    </row>
    <row r="9" spans="1:7" ht="24.75">
      <c r="A9" s="620"/>
      <c r="B9" s="621">
        <v>4</v>
      </c>
      <c r="C9" s="622" t="s">
        <v>643</v>
      </c>
      <c r="D9" s="361">
        <v>71900</v>
      </c>
      <c r="E9" s="623"/>
      <c r="F9" s="363" t="s">
        <v>137</v>
      </c>
    </row>
    <row r="10" spans="1:7" ht="24.75">
      <c r="A10" s="620"/>
      <c r="B10" s="621">
        <v>5</v>
      </c>
      <c r="C10" s="359" t="s">
        <v>1107</v>
      </c>
      <c r="D10" s="361">
        <v>18000</v>
      </c>
      <c r="E10" s="623"/>
      <c r="F10" s="363" t="s">
        <v>137</v>
      </c>
    </row>
    <row r="11" spans="1:7" ht="24" thickBot="1">
      <c r="A11" s="620"/>
      <c r="B11" s="621"/>
      <c r="C11" s="624" t="s">
        <v>35</v>
      </c>
      <c r="D11" s="625">
        <f>SUM(D6:D10)</f>
        <v>128500</v>
      </c>
      <c r="E11" s="623"/>
      <c r="F11" s="363"/>
    </row>
    <row r="12" spans="1:7" ht="24" thickTop="1">
      <c r="A12" s="620"/>
      <c r="B12" s="621"/>
      <c r="C12" s="624"/>
      <c r="D12" s="626"/>
      <c r="E12" s="623"/>
      <c r="F12" s="363"/>
    </row>
    <row r="13" spans="1:7">
      <c r="A13" s="620"/>
      <c r="B13" s="627" t="s">
        <v>29</v>
      </c>
      <c r="C13" s="628"/>
      <c r="D13" s="618"/>
      <c r="E13" s="623"/>
      <c r="F13" s="363"/>
      <c r="G13" s="619"/>
    </row>
    <row r="14" spans="1:7" ht="24.75">
      <c r="A14" s="620"/>
      <c r="B14" s="621">
        <v>1</v>
      </c>
      <c r="C14" s="359" t="s">
        <v>1113</v>
      </c>
      <c r="D14" s="362">
        <v>7500</v>
      </c>
      <c r="E14" s="623"/>
      <c r="F14" s="363" t="s">
        <v>137</v>
      </c>
    </row>
    <row r="15" spans="1:7" ht="25.5" thickBot="1">
      <c r="A15" s="620"/>
      <c r="B15" s="621"/>
      <c r="C15" s="624" t="s">
        <v>35</v>
      </c>
      <c r="D15" s="629">
        <f>SUM(D14:D14)</f>
        <v>7500</v>
      </c>
      <c r="E15" s="623"/>
      <c r="F15" s="363"/>
    </row>
    <row r="16" spans="1:7" ht="24" thickTop="1">
      <c r="A16" s="620"/>
      <c r="B16" s="621"/>
      <c r="C16" s="624"/>
      <c r="D16" s="626"/>
      <c r="E16" s="623"/>
      <c r="F16" s="363"/>
    </row>
    <row r="17" spans="1:7" ht="24.75">
      <c r="A17" s="620"/>
      <c r="B17" s="360" t="s">
        <v>1063</v>
      </c>
      <c r="C17" s="628"/>
      <c r="D17" s="618"/>
      <c r="E17" s="623"/>
      <c r="F17" s="363"/>
      <c r="G17" s="619"/>
    </row>
    <row r="18" spans="1:7" ht="24.75">
      <c r="A18" s="620"/>
      <c r="B18" s="621">
        <v>1</v>
      </c>
      <c r="C18" s="622" t="s">
        <v>1114</v>
      </c>
      <c r="D18" s="362">
        <v>29900</v>
      </c>
      <c r="E18" s="623"/>
      <c r="F18" s="363" t="s">
        <v>137</v>
      </c>
    </row>
    <row r="19" spans="1:7" ht="25.5" thickBot="1">
      <c r="A19" s="620"/>
      <c r="B19" s="621"/>
      <c r="C19" s="624" t="s">
        <v>35</v>
      </c>
      <c r="D19" s="629">
        <f>SUM(D18)</f>
        <v>29900</v>
      </c>
      <c r="E19" s="623"/>
      <c r="F19" s="363"/>
    </row>
    <row r="20" spans="1:7" ht="24" thickTop="1">
      <c r="A20" s="620"/>
      <c r="B20" s="621"/>
      <c r="C20" s="624"/>
      <c r="D20" s="626"/>
      <c r="E20" s="623"/>
      <c r="F20" s="363"/>
    </row>
    <row r="21" spans="1:7">
      <c r="A21" s="620"/>
      <c r="B21" s="627" t="s">
        <v>28</v>
      </c>
      <c r="C21" s="628"/>
      <c r="D21" s="618"/>
      <c r="E21" s="623"/>
      <c r="F21" s="363"/>
      <c r="G21" s="619"/>
    </row>
    <row r="22" spans="1:7" ht="24.75">
      <c r="A22" s="620"/>
      <c r="B22" s="621">
        <v>1</v>
      </c>
      <c r="C22" s="359" t="s">
        <v>1108</v>
      </c>
      <c r="D22" s="253">
        <v>22000</v>
      </c>
      <c r="E22" s="623"/>
      <c r="F22" s="363" t="s">
        <v>137</v>
      </c>
    </row>
    <row r="23" spans="1:7" ht="24.75">
      <c r="A23" s="620"/>
      <c r="B23" s="621">
        <v>2</v>
      </c>
      <c r="C23" s="359" t="s">
        <v>1109</v>
      </c>
      <c r="D23" s="253">
        <v>17000</v>
      </c>
      <c r="E23" s="623"/>
      <c r="F23" s="363" t="s">
        <v>137</v>
      </c>
    </row>
    <row r="24" spans="1:7" ht="24.75">
      <c r="A24" s="620"/>
      <c r="B24" s="621">
        <v>3</v>
      </c>
      <c r="C24" s="359" t="s">
        <v>1110</v>
      </c>
      <c r="D24" s="253">
        <v>8600</v>
      </c>
      <c r="E24" s="623"/>
      <c r="F24" s="363" t="s">
        <v>137</v>
      </c>
    </row>
    <row r="25" spans="1:7" ht="24.75">
      <c r="A25" s="620"/>
      <c r="B25" s="621">
        <v>4</v>
      </c>
      <c r="C25" s="359" t="s">
        <v>1111</v>
      </c>
      <c r="D25" s="253">
        <v>10000</v>
      </c>
      <c r="E25" s="623"/>
      <c r="F25" s="363" t="s">
        <v>137</v>
      </c>
    </row>
    <row r="26" spans="1:7" ht="24.75">
      <c r="A26" s="620"/>
      <c r="B26" s="621">
        <v>5</v>
      </c>
      <c r="C26" s="359" t="s">
        <v>1112</v>
      </c>
      <c r="D26" s="362">
        <v>3500</v>
      </c>
      <c r="E26" s="623"/>
      <c r="F26" s="363" t="s">
        <v>137</v>
      </c>
    </row>
    <row r="27" spans="1:7" ht="24" thickBot="1">
      <c r="A27" s="620"/>
      <c r="B27" s="621"/>
      <c r="C27" s="624" t="s">
        <v>35</v>
      </c>
      <c r="D27" s="625">
        <f>SUM(D22:D26)</f>
        <v>61100</v>
      </c>
      <c r="E27" s="623"/>
      <c r="F27" s="363"/>
    </row>
    <row r="28" spans="1:7" ht="24" thickTop="1">
      <c r="A28" s="620"/>
      <c r="B28" s="621"/>
      <c r="C28" s="624"/>
      <c r="D28" s="626"/>
      <c r="E28" s="623"/>
      <c r="F28" s="363"/>
    </row>
    <row r="29" spans="1:7">
      <c r="A29" s="623"/>
      <c r="B29" s="627"/>
      <c r="C29" s="630" t="s">
        <v>40</v>
      </c>
      <c r="D29" s="631">
        <f>D11+D15+D19+D27</f>
        <v>227000</v>
      </c>
      <c r="E29" s="623"/>
      <c r="F29" s="363"/>
    </row>
    <row r="30" spans="1:7">
      <c r="A30" s="623"/>
      <c r="B30" s="632"/>
      <c r="C30" s="628"/>
      <c r="D30" s="623"/>
      <c r="E30" s="623"/>
      <c r="F30" s="363"/>
    </row>
    <row r="31" spans="1:7">
      <c r="A31" s="623"/>
      <c r="B31" s="632"/>
      <c r="C31" s="628"/>
      <c r="D31" s="623"/>
      <c r="E31" s="623"/>
      <c r="F31" s="363"/>
    </row>
  </sheetData>
  <mergeCells count="1">
    <mergeCell ref="A1:F1"/>
  </mergeCells>
  <pageMargins left="0.42" right="0.21" top="0.75" bottom="0.75" header="0.3" footer="0.3"/>
  <pageSetup paperSize="9" orientation="portrait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G113"/>
  <sheetViews>
    <sheetView workbookViewId="0">
      <selection activeCell="B2" sqref="B2"/>
    </sheetView>
  </sheetViews>
  <sheetFormatPr defaultRowHeight="19.5"/>
  <cols>
    <col min="1" max="1" width="0.125" style="42" customWidth="1"/>
    <col min="2" max="2" width="3.25" style="42" customWidth="1"/>
    <col min="3" max="3" width="57.625" style="42" customWidth="1"/>
    <col min="4" max="4" width="14.25" style="33" customWidth="1"/>
    <col min="5" max="5" width="1.625" style="42" customWidth="1"/>
    <col min="6" max="6" width="13.375" style="42" customWidth="1"/>
    <col min="7" max="16384" width="9" style="42"/>
  </cols>
  <sheetData>
    <row r="1" spans="1:7">
      <c r="A1" s="812" t="str">
        <f>[3]งบแสดงฐานะ!A1</f>
        <v>องค์การบริหารส่วนตำบลบ้านกอก  อำเภอจัตุรัส  จังหวัดชัยภูมิ</v>
      </c>
      <c r="B1" s="812"/>
      <c r="C1" s="812"/>
      <c r="D1" s="812"/>
      <c r="E1" s="812"/>
      <c r="F1" s="812"/>
    </row>
    <row r="2" spans="1:7" s="33" customFormat="1">
      <c r="A2" s="34" t="s">
        <v>133</v>
      </c>
      <c r="B2" s="37"/>
      <c r="C2" s="35"/>
      <c r="F2" s="36"/>
    </row>
    <row r="3" spans="1:7" s="33" customFormat="1">
      <c r="A3" s="34"/>
      <c r="B3" s="37"/>
      <c r="C3" s="35"/>
      <c r="D3" s="38" t="s">
        <v>135</v>
      </c>
      <c r="F3" s="266" t="s">
        <v>134</v>
      </c>
    </row>
    <row r="4" spans="1:7" s="33" customFormat="1">
      <c r="A4" s="34" t="s">
        <v>138</v>
      </c>
      <c r="B4" s="37"/>
      <c r="C4" s="35"/>
      <c r="D4" s="40"/>
      <c r="F4" s="36"/>
    </row>
    <row r="5" spans="1:7" s="33" customFormat="1">
      <c r="A5" s="39"/>
      <c r="B5" s="37" t="s">
        <v>139</v>
      </c>
      <c r="C5" s="35"/>
      <c r="D5" s="41"/>
      <c r="F5" s="36"/>
    </row>
    <row r="6" spans="1:7" ht="23.25">
      <c r="A6" s="254"/>
      <c r="B6" s="254"/>
      <c r="C6" s="365" t="s">
        <v>609</v>
      </c>
      <c r="D6" s="366">
        <v>97700</v>
      </c>
      <c r="E6" s="254"/>
      <c r="F6" s="251" t="s">
        <v>137</v>
      </c>
      <c r="G6" s="254"/>
    </row>
    <row r="7" spans="1:7" ht="23.25">
      <c r="A7" s="254"/>
      <c r="B7" s="254"/>
      <c r="C7" s="365" t="s">
        <v>1026</v>
      </c>
      <c r="D7" s="366">
        <v>100000</v>
      </c>
      <c r="E7" s="254"/>
      <c r="F7" s="251" t="s">
        <v>137</v>
      </c>
      <c r="G7" s="254"/>
    </row>
    <row r="8" spans="1:7" ht="23.25">
      <c r="A8" s="254"/>
      <c r="B8" s="254"/>
      <c r="C8" s="365" t="s">
        <v>1027</v>
      </c>
      <c r="D8" s="366">
        <v>100000</v>
      </c>
      <c r="E8" s="254"/>
      <c r="F8" s="251" t="s">
        <v>137</v>
      </c>
      <c r="G8" s="254"/>
    </row>
    <row r="9" spans="1:7" ht="23.25">
      <c r="A9" s="254"/>
      <c r="B9" s="254"/>
      <c r="C9" s="365" t="s">
        <v>1028</v>
      </c>
      <c r="D9" s="369">
        <v>90600</v>
      </c>
      <c r="E9" s="254"/>
      <c r="F9" s="251" t="s">
        <v>137</v>
      </c>
      <c r="G9" s="254"/>
    </row>
    <row r="10" spans="1:7" ht="23.25">
      <c r="A10" s="254"/>
      <c r="B10" s="254"/>
      <c r="C10" s="365" t="s">
        <v>1058</v>
      </c>
      <c r="D10" s="369">
        <v>100000</v>
      </c>
      <c r="E10" s="254"/>
      <c r="F10" s="251" t="s">
        <v>137</v>
      </c>
      <c r="G10" s="254"/>
    </row>
    <row r="11" spans="1:7" ht="23.25">
      <c r="A11" s="254"/>
      <c r="B11" s="254"/>
      <c r="C11" s="365" t="s">
        <v>1029</v>
      </c>
      <c r="D11" s="369">
        <v>93000</v>
      </c>
      <c r="E11" s="254"/>
      <c r="F11" s="251" t="s">
        <v>137</v>
      </c>
      <c r="G11" s="254"/>
    </row>
    <row r="12" spans="1:7" ht="23.25">
      <c r="A12" s="254"/>
      <c r="B12" s="254"/>
      <c r="C12" s="365" t="s">
        <v>1030</v>
      </c>
      <c r="D12" s="369">
        <v>72000</v>
      </c>
      <c r="E12" s="254"/>
      <c r="F12" s="251" t="s">
        <v>137</v>
      </c>
      <c r="G12" s="254"/>
    </row>
    <row r="13" spans="1:7" ht="23.25">
      <c r="A13" s="254"/>
      <c r="B13" s="254"/>
      <c r="C13" s="365" t="s">
        <v>1059</v>
      </c>
      <c r="D13" s="369">
        <v>93600</v>
      </c>
      <c r="E13" s="254"/>
      <c r="F13" s="251" t="s">
        <v>137</v>
      </c>
      <c r="G13" s="254"/>
    </row>
    <row r="14" spans="1:7" ht="23.25">
      <c r="A14" s="254"/>
      <c r="B14" s="254"/>
      <c r="C14" s="365" t="s">
        <v>1031</v>
      </c>
      <c r="D14" s="369">
        <v>98200</v>
      </c>
      <c r="E14" s="254"/>
      <c r="F14" s="251" t="s">
        <v>137</v>
      </c>
      <c r="G14" s="254"/>
    </row>
    <row r="15" spans="1:7" ht="23.25">
      <c r="A15" s="254"/>
      <c r="B15" s="254"/>
      <c r="C15" s="365" t="s">
        <v>1060</v>
      </c>
      <c r="D15" s="369">
        <v>45500</v>
      </c>
      <c r="E15" s="254"/>
      <c r="F15" s="251" t="s">
        <v>137</v>
      </c>
      <c r="G15" s="254"/>
    </row>
    <row r="16" spans="1:7" ht="23.25">
      <c r="A16" s="254"/>
      <c r="B16" s="254"/>
      <c r="C16" s="365" t="s">
        <v>1032</v>
      </c>
      <c r="D16" s="369">
        <v>33000</v>
      </c>
      <c r="E16" s="254"/>
      <c r="F16" s="251" t="s">
        <v>137</v>
      </c>
      <c r="G16" s="254"/>
    </row>
    <row r="17" spans="1:7" ht="23.25">
      <c r="A17" s="254"/>
      <c r="B17" s="254"/>
      <c r="C17" s="365" t="s">
        <v>1033</v>
      </c>
      <c r="D17" s="369">
        <v>97300</v>
      </c>
      <c r="E17" s="254"/>
      <c r="F17" s="251" t="s">
        <v>137</v>
      </c>
      <c r="G17" s="254"/>
    </row>
    <row r="18" spans="1:7" ht="23.25">
      <c r="A18" s="254"/>
      <c r="B18" s="254"/>
      <c r="C18" s="365" t="s">
        <v>1034</v>
      </c>
      <c r="D18" s="369">
        <v>75600</v>
      </c>
      <c r="E18" s="254"/>
      <c r="F18" s="251" t="s">
        <v>137</v>
      </c>
      <c r="G18" s="254"/>
    </row>
    <row r="19" spans="1:7" ht="23.25">
      <c r="A19" s="254"/>
      <c r="B19" s="254"/>
      <c r="C19" s="365" t="s">
        <v>1035</v>
      </c>
      <c r="D19" s="369">
        <v>92500</v>
      </c>
      <c r="E19" s="254"/>
      <c r="F19" s="251" t="s">
        <v>137</v>
      </c>
      <c r="G19" s="254"/>
    </row>
    <row r="20" spans="1:7" ht="23.25">
      <c r="A20" s="254"/>
      <c r="B20" s="254"/>
      <c r="C20" s="365" t="s">
        <v>1036</v>
      </c>
      <c r="D20" s="369">
        <v>100000</v>
      </c>
      <c r="E20" s="254"/>
      <c r="F20" s="251" t="s">
        <v>137</v>
      </c>
      <c r="G20" s="254"/>
    </row>
    <row r="21" spans="1:7" ht="23.25">
      <c r="A21" s="254"/>
      <c r="B21" s="254"/>
      <c r="C21" s="365" t="s">
        <v>1037</v>
      </c>
      <c r="D21" s="369">
        <v>95600</v>
      </c>
      <c r="E21" s="254"/>
      <c r="F21" s="251" t="s">
        <v>137</v>
      </c>
      <c r="G21" s="254"/>
    </row>
    <row r="22" spans="1:7" ht="23.25">
      <c r="A22" s="254"/>
      <c r="B22" s="254"/>
      <c r="C22" s="365" t="s">
        <v>1038</v>
      </c>
      <c r="D22" s="369">
        <v>69400</v>
      </c>
      <c r="E22" s="254"/>
      <c r="F22" s="251" t="s">
        <v>137</v>
      </c>
      <c r="G22" s="254"/>
    </row>
    <row r="23" spans="1:7" ht="23.25">
      <c r="A23" s="254"/>
      <c r="B23" s="254"/>
      <c r="C23" s="365" t="s">
        <v>1039</v>
      </c>
      <c r="D23" s="369">
        <v>312000</v>
      </c>
      <c r="E23" s="254"/>
      <c r="F23" s="251" t="s">
        <v>137</v>
      </c>
      <c r="G23" s="254"/>
    </row>
    <row r="24" spans="1:7" ht="23.25">
      <c r="A24" s="254"/>
      <c r="B24" s="254"/>
      <c r="C24" s="365" t="s">
        <v>1041</v>
      </c>
      <c r="D24" s="369">
        <v>40000</v>
      </c>
      <c r="E24" s="254"/>
      <c r="F24" s="251" t="s">
        <v>137</v>
      </c>
      <c r="G24" s="254"/>
    </row>
    <row r="25" spans="1:7" ht="23.25">
      <c r="A25" s="254"/>
      <c r="B25" s="254"/>
      <c r="C25" s="365" t="s">
        <v>1055</v>
      </c>
      <c r="D25" s="369">
        <v>200000</v>
      </c>
      <c r="E25" s="254"/>
      <c r="F25" s="251" t="s">
        <v>137</v>
      </c>
      <c r="G25" s="254"/>
    </row>
    <row r="26" spans="1:7" ht="23.25">
      <c r="A26" s="254"/>
      <c r="B26" s="254"/>
      <c r="C26" s="365" t="s">
        <v>1054</v>
      </c>
      <c r="D26" s="369">
        <v>398000</v>
      </c>
      <c r="E26" s="254"/>
      <c r="F26" s="251" t="s">
        <v>137</v>
      </c>
      <c r="G26" s="254"/>
    </row>
    <row r="27" spans="1:7" s="257" customFormat="1" ht="23.25">
      <c r="A27" s="256"/>
      <c r="B27" s="256"/>
      <c r="C27" s="365" t="s">
        <v>1053</v>
      </c>
      <c r="D27" s="369">
        <v>499000</v>
      </c>
      <c r="E27" s="256"/>
      <c r="F27" s="251" t="s">
        <v>137</v>
      </c>
      <c r="G27" s="256"/>
    </row>
    <row r="28" spans="1:7" s="257" customFormat="1" ht="23.25">
      <c r="A28" s="256"/>
      <c r="B28" s="256"/>
      <c r="C28" s="363" t="s">
        <v>1046</v>
      </c>
      <c r="D28" s="370">
        <v>90000</v>
      </c>
      <c r="E28" s="256"/>
      <c r="F28" s="251" t="s">
        <v>137</v>
      </c>
      <c r="G28" s="256"/>
    </row>
    <row r="29" spans="1:7" s="257" customFormat="1" ht="23.25">
      <c r="A29" s="256"/>
      <c r="B29" s="37"/>
      <c r="C29" s="363" t="s">
        <v>1047</v>
      </c>
      <c r="D29" s="370">
        <v>63600</v>
      </c>
      <c r="E29" s="256"/>
      <c r="F29" s="251" t="s">
        <v>137</v>
      </c>
      <c r="G29" s="256"/>
    </row>
    <row r="30" spans="1:7" ht="23.25">
      <c r="A30" s="254"/>
      <c r="B30" s="254"/>
      <c r="C30" s="363" t="s">
        <v>1043</v>
      </c>
      <c r="D30" s="378">
        <v>655000</v>
      </c>
      <c r="E30" s="254"/>
      <c r="F30" s="251" t="s">
        <v>137</v>
      </c>
      <c r="G30" s="254"/>
    </row>
    <row r="31" spans="1:7" ht="24" thickBot="1">
      <c r="A31" s="254"/>
      <c r="B31" s="254"/>
      <c r="C31" s="367" t="s">
        <v>35</v>
      </c>
      <c r="D31" s="377">
        <f>SUM(D6:D30)</f>
        <v>3711600</v>
      </c>
      <c r="E31" s="254"/>
      <c r="F31" s="254"/>
      <c r="G31" s="254"/>
    </row>
    <row r="32" spans="1:7" ht="25.5" thickTop="1">
      <c r="A32" s="254"/>
      <c r="B32" s="254"/>
      <c r="C32" s="252"/>
      <c r="D32" s="258"/>
      <c r="E32" s="254"/>
      <c r="F32" s="254"/>
      <c r="G32" s="254"/>
    </row>
    <row r="33" spans="1:7" s="33" customFormat="1">
      <c r="A33" s="34"/>
      <c r="B33" s="37"/>
      <c r="C33" s="35"/>
      <c r="D33" s="38" t="s">
        <v>135</v>
      </c>
      <c r="F33" s="668" t="s">
        <v>134</v>
      </c>
    </row>
    <row r="34" spans="1:7" s="33" customFormat="1">
      <c r="A34" s="34" t="s">
        <v>138</v>
      </c>
      <c r="B34" s="37"/>
      <c r="C34" s="35"/>
      <c r="D34" s="40"/>
      <c r="F34" s="36"/>
    </row>
    <row r="35" spans="1:7" ht="23.25">
      <c r="A35" s="254"/>
      <c r="B35" s="669" t="s">
        <v>140</v>
      </c>
      <c r="C35" s="670"/>
      <c r="D35" s="671"/>
      <c r="E35" s="254"/>
      <c r="F35" s="254"/>
      <c r="G35" s="254"/>
    </row>
    <row r="36" spans="1:7" ht="24.75">
      <c r="A36" s="254"/>
      <c r="B36" s="255"/>
      <c r="C36" s="371" t="s">
        <v>1116</v>
      </c>
      <c r="D36" s="372">
        <v>84200</v>
      </c>
      <c r="E36" s="373"/>
      <c r="F36" s="373" t="s">
        <v>18</v>
      </c>
      <c r="G36" s="254"/>
    </row>
    <row r="37" spans="1:7" ht="22.5">
      <c r="A37" s="254"/>
      <c r="B37" s="254"/>
      <c r="C37" s="371" t="s">
        <v>1117</v>
      </c>
      <c r="D37" s="372">
        <v>73800</v>
      </c>
      <c r="E37" s="373"/>
      <c r="F37" s="373" t="s">
        <v>18</v>
      </c>
      <c r="G37" s="254"/>
    </row>
    <row r="38" spans="1:7" ht="22.5">
      <c r="A38" s="254"/>
      <c r="B38" s="254"/>
      <c r="C38" s="371" t="s">
        <v>1118</v>
      </c>
      <c r="D38" s="372">
        <v>19600</v>
      </c>
      <c r="E38" s="373"/>
      <c r="F38" s="373" t="s">
        <v>18</v>
      </c>
      <c r="G38" s="254"/>
    </row>
    <row r="39" spans="1:7" ht="22.5">
      <c r="A39" s="254"/>
      <c r="B39" s="254"/>
      <c r="C39" s="371" t="s">
        <v>1119</v>
      </c>
      <c r="D39" s="372">
        <v>36900</v>
      </c>
      <c r="E39" s="373"/>
      <c r="F39" s="373" t="s">
        <v>18</v>
      </c>
      <c r="G39" s="254"/>
    </row>
    <row r="40" spans="1:7" ht="22.5">
      <c r="A40" s="254"/>
      <c r="B40" s="254"/>
      <c r="C40" s="371" t="s">
        <v>1120</v>
      </c>
      <c r="D40" s="372">
        <v>36900</v>
      </c>
      <c r="E40" s="373"/>
      <c r="F40" s="373" t="s">
        <v>18</v>
      </c>
      <c r="G40" s="254"/>
    </row>
    <row r="41" spans="1:7" ht="22.5">
      <c r="A41" s="254"/>
      <c r="B41" s="254"/>
      <c r="C41" s="371" t="s">
        <v>1121</v>
      </c>
      <c r="D41" s="372">
        <v>18400</v>
      </c>
      <c r="E41" s="373"/>
      <c r="F41" s="373" t="s">
        <v>18</v>
      </c>
      <c r="G41" s="254"/>
    </row>
    <row r="42" spans="1:7" ht="22.5">
      <c r="A42" s="254"/>
      <c r="B42" s="254"/>
      <c r="C42" s="371" t="s">
        <v>1122</v>
      </c>
      <c r="D42" s="372">
        <v>18400</v>
      </c>
      <c r="E42" s="373"/>
      <c r="F42" s="373" t="s">
        <v>18</v>
      </c>
      <c r="G42" s="254"/>
    </row>
    <row r="43" spans="1:7" ht="22.5">
      <c r="A43" s="254"/>
      <c r="B43" s="254"/>
      <c r="C43" s="371" t="s">
        <v>1123</v>
      </c>
      <c r="D43" s="372">
        <v>18400</v>
      </c>
      <c r="E43" s="373"/>
      <c r="F43" s="373" t="s">
        <v>18</v>
      </c>
      <c r="G43" s="254"/>
    </row>
    <row r="44" spans="1:7" ht="22.5">
      <c r="A44" s="254"/>
      <c r="B44" s="254"/>
      <c r="C44" s="371" t="s">
        <v>1124</v>
      </c>
      <c r="D44" s="372">
        <v>62700</v>
      </c>
      <c r="E44" s="373"/>
      <c r="F44" s="373" t="s">
        <v>18</v>
      </c>
      <c r="G44" s="254"/>
    </row>
    <row r="45" spans="1:7" ht="22.5">
      <c r="A45" s="254"/>
      <c r="B45" s="254"/>
      <c r="C45" s="371" t="s">
        <v>1125</v>
      </c>
      <c r="D45" s="372">
        <v>32500</v>
      </c>
      <c r="E45" s="373"/>
      <c r="F45" s="373" t="s">
        <v>18</v>
      </c>
      <c r="G45" s="254"/>
    </row>
    <row r="46" spans="1:7" ht="22.5">
      <c r="A46" s="254"/>
      <c r="B46" s="254"/>
      <c r="C46" s="371" t="s">
        <v>1126</v>
      </c>
      <c r="D46" s="372">
        <v>32500</v>
      </c>
      <c r="E46" s="373"/>
      <c r="F46" s="373" t="s">
        <v>18</v>
      </c>
      <c r="G46" s="254"/>
    </row>
    <row r="47" spans="1:7" ht="22.5">
      <c r="A47" s="254"/>
      <c r="B47" s="254"/>
      <c r="C47" s="371" t="s">
        <v>1127</v>
      </c>
      <c r="D47" s="372">
        <v>58600</v>
      </c>
      <c r="E47" s="373"/>
      <c r="F47" s="373" t="s">
        <v>18</v>
      </c>
      <c r="G47" s="254"/>
    </row>
    <row r="48" spans="1:7" ht="22.5">
      <c r="A48" s="254"/>
      <c r="B48" s="254"/>
      <c r="C48" s="371" t="s">
        <v>1128</v>
      </c>
      <c r="D48" s="372">
        <v>47100</v>
      </c>
      <c r="E48" s="373"/>
      <c r="F48" s="373" t="s">
        <v>18</v>
      </c>
      <c r="G48" s="254"/>
    </row>
    <row r="49" spans="1:7" ht="22.5">
      <c r="A49" s="254"/>
      <c r="B49" s="254"/>
      <c r="C49" s="371" t="s">
        <v>1129</v>
      </c>
      <c r="D49" s="372">
        <v>18000</v>
      </c>
      <c r="E49" s="373"/>
      <c r="F49" s="373" t="s">
        <v>18</v>
      </c>
      <c r="G49" s="254"/>
    </row>
    <row r="50" spans="1:7" ht="22.5">
      <c r="A50" s="254"/>
      <c r="B50" s="254"/>
      <c r="C50" s="371" t="s">
        <v>1130</v>
      </c>
      <c r="D50" s="372">
        <v>34700</v>
      </c>
      <c r="E50" s="373"/>
      <c r="F50" s="373" t="s">
        <v>18</v>
      </c>
      <c r="G50" s="254"/>
    </row>
    <row r="51" spans="1:7" ht="22.5">
      <c r="A51" s="254"/>
      <c r="B51" s="254"/>
      <c r="C51" s="371" t="s">
        <v>1131</v>
      </c>
      <c r="D51" s="372">
        <v>18000</v>
      </c>
      <c r="E51" s="373"/>
      <c r="F51" s="373" t="s">
        <v>18</v>
      </c>
      <c r="G51" s="254"/>
    </row>
    <row r="52" spans="1:7" ht="22.5">
      <c r="A52" s="254"/>
      <c r="B52" s="254"/>
      <c r="C52" s="371" t="s">
        <v>1132</v>
      </c>
      <c r="D52" s="372">
        <v>50500</v>
      </c>
      <c r="E52" s="373"/>
      <c r="F52" s="373" t="s">
        <v>18</v>
      </c>
      <c r="G52" s="254"/>
    </row>
    <row r="53" spans="1:7" ht="22.5">
      <c r="A53" s="254"/>
      <c r="B53" s="254"/>
      <c r="C53" s="371" t="s">
        <v>1133</v>
      </c>
      <c r="D53" s="372">
        <v>31500</v>
      </c>
      <c r="E53" s="373"/>
      <c r="F53" s="373" t="s">
        <v>18</v>
      </c>
      <c r="G53" s="254"/>
    </row>
    <row r="54" spans="1:7" ht="22.5">
      <c r="A54" s="254"/>
      <c r="B54" s="254"/>
      <c r="C54" s="371" t="s">
        <v>1134</v>
      </c>
      <c r="D54" s="372">
        <v>29200</v>
      </c>
      <c r="E54" s="373"/>
      <c r="F54" s="373" t="s">
        <v>18</v>
      </c>
      <c r="G54" s="254"/>
    </row>
    <row r="55" spans="1:7" ht="22.5">
      <c r="A55" s="254"/>
      <c r="B55" s="254"/>
      <c r="C55" s="371" t="s">
        <v>1135</v>
      </c>
      <c r="D55" s="372">
        <v>33800</v>
      </c>
      <c r="E55" s="373"/>
      <c r="F55" s="373" t="s">
        <v>18</v>
      </c>
      <c r="G55" s="254"/>
    </row>
    <row r="56" spans="1:7" ht="22.5">
      <c r="A56" s="254"/>
      <c r="B56" s="254"/>
      <c r="C56" s="371" t="s">
        <v>1136</v>
      </c>
      <c r="D56" s="372">
        <v>68900</v>
      </c>
      <c r="E56" s="373"/>
      <c r="F56" s="373" t="s">
        <v>18</v>
      </c>
      <c r="G56" s="254"/>
    </row>
    <row r="57" spans="1:7" ht="22.5">
      <c r="A57" s="254"/>
      <c r="B57" s="254"/>
      <c r="C57" s="371" t="s">
        <v>1137</v>
      </c>
      <c r="D57" s="372">
        <v>21000</v>
      </c>
      <c r="E57" s="373"/>
      <c r="F57" s="373" t="s">
        <v>18</v>
      </c>
      <c r="G57" s="254"/>
    </row>
    <row r="58" spans="1:7" ht="22.5">
      <c r="A58" s="254"/>
      <c r="B58" s="254"/>
      <c r="C58" s="371" t="s">
        <v>1138</v>
      </c>
      <c r="D58" s="372">
        <v>21000</v>
      </c>
      <c r="E58" s="373"/>
      <c r="F58" s="373" t="s">
        <v>18</v>
      </c>
      <c r="G58" s="254"/>
    </row>
    <row r="59" spans="1:7" ht="22.5">
      <c r="A59" s="254"/>
      <c r="B59" s="254"/>
      <c r="C59" s="371" t="s">
        <v>1139</v>
      </c>
      <c r="D59" s="372">
        <v>15900</v>
      </c>
      <c r="E59" s="373"/>
      <c r="F59" s="373" t="s">
        <v>18</v>
      </c>
      <c r="G59" s="254"/>
    </row>
    <row r="60" spans="1:7" ht="22.5">
      <c r="A60" s="254"/>
      <c r="B60" s="254"/>
      <c r="C60" s="371" t="s">
        <v>1140</v>
      </c>
      <c r="D60" s="372">
        <v>20600</v>
      </c>
      <c r="E60" s="373"/>
      <c r="F60" s="373" t="s">
        <v>18</v>
      </c>
      <c r="G60" s="254"/>
    </row>
    <row r="61" spans="1:7" ht="22.5">
      <c r="A61" s="254"/>
      <c r="B61" s="254"/>
      <c r="C61" s="371" t="s">
        <v>1141</v>
      </c>
      <c r="D61" s="372">
        <v>17800</v>
      </c>
      <c r="E61" s="373"/>
      <c r="F61" s="373" t="s">
        <v>18</v>
      </c>
      <c r="G61" s="254"/>
    </row>
    <row r="62" spans="1:7" ht="22.5">
      <c r="A62" s="254"/>
      <c r="B62" s="254"/>
      <c r="C62" s="371" t="s">
        <v>1142</v>
      </c>
      <c r="D62" s="372">
        <v>21000</v>
      </c>
      <c r="E62" s="373"/>
      <c r="F62" s="373" t="s">
        <v>18</v>
      </c>
      <c r="G62" s="254"/>
    </row>
    <row r="63" spans="1:7" ht="22.5">
      <c r="A63" s="254"/>
      <c r="B63" s="254"/>
      <c r="C63" s="371" t="s">
        <v>1143</v>
      </c>
      <c r="D63" s="372">
        <v>8000</v>
      </c>
      <c r="E63" s="373"/>
      <c r="F63" s="373" t="s">
        <v>18</v>
      </c>
      <c r="G63" s="254"/>
    </row>
    <row r="64" spans="1:7" ht="22.5">
      <c r="A64" s="254"/>
      <c r="B64" s="254"/>
      <c r="C64" s="371" t="s">
        <v>1144</v>
      </c>
      <c r="D64" s="372">
        <v>4000</v>
      </c>
      <c r="E64" s="373"/>
      <c r="F64" s="373" t="s">
        <v>18</v>
      </c>
      <c r="G64" s="254"/>
    </row>
    <row r="65" spans="1:7" ht="22.5">
      <c r="A65" s="254"/>
      <c r="B65" s="254"/>
      <c r="C65" s="371"/>
      <c r="D65" s="372"/>
      <c r="E65" s="373"/>
      <c r="F65" s="373"/>
      <c r="G65" s="254"/>
    </row>
    <row r="66" spans="1:7" s="33" customFormat="1">
      <c r="A66" s="34"/>
      <c r="B66" s="37"/>
      <c r="C66" s="35"/>
      <c r="D66" s="38" t="s">
        <v>135</v>
      </c>
      <c r="F66" s="668" t="s">
        <v>134</v>
      </c>
    </row>
    <row r="67" spans="1:7" s="33" customFormat="1">
      <c r="A67" s="34" t="s">
        <v>138</v>
      </c>
      <c r="B67" s="37"/>
      <c r="C67" s="35"/>
      <c r="D67" s="40"/>
      <c r="F67" s="36"/>
    </row>
    <row r="68" spans="1:7" ht="23.25">
      <c r="A68" s="254"/>
      <c r="B68" s="669" t="s">
        <v>140</v>
      </c>
      <c r="C68" s="670"/>
      <c r="D68" s="671"/>
      <c r="E68" s="254"/>
      <c r="F68" s="254"/>
      <c r="G68" s="254"/>
    </row>
    <row r="69" spans="1:7" ht="22.5">
      <c r="A69" s="254"/>
      <c r="B69" s="254"/>
      <c r="C69" s="371" t="s">
        <v>1145</v>
      </c>
      <c r="D69" s="372">
        <v>1700</v>
      </c>
      <c r="E69" s="373"/>
      <c r="F69" s="373" t="s">
        <v>18</v>
      </c>
      <c r="G69" s="254"/>
    </row>
    <row r="70" spans="1:7" ht="22.5">
      <c r="A70" s="254"/>
      <c r="B70" s="254"/>
      <c r="C70" s="371" t="s">
        <v>1146</v>
      </c>
      <c r="D70" s="372">
        <v>41800</v>
      </c>
      <c r="E70" s="373"/>
      <c r="F70" s="373" t="s">
        <v>18</v>
      </c>
      <c r="G70" s="254"/>
    </row>
    <row r="71" spans="1:7" ht="22.5">
      <c r="A71" s="254"/>
      <c r="B71" s="254"/>
      <c r="C71" s="371" t="s">
        <v>1147</v>
      </c>
      <c r="D71" s="372">
        <v>8000</v>
      </c>
      <c r="E71" s="373"/>
      <c r="F71" s="373" t="s">
        <v>18</v>
      </c>
      <c r="G71" s="254"/>
    </row>
    <row r="72" spans="1:7" ht="22.5">
      <c r="A72" s="254"/>
      <c r="B72" s="254"/>
      <c r="C72" s="371" t="s">
        <v>1148</v>
      </c>
      <c r="D72" s="372">
        <v>20000</v>
      </c>
      <c r="E72" s="373"/>
      <c r="F72" s="373" t="s">
        <v>18</v>
      </c>
      <c r="G72" s="254"/>
    </row>
    <row r="73" spans="1:7" ht="22.5">
      <c r="A73" s="254"/>
      <c r="B73" s="254"/>
      <c r="C73" s="371" t="s">
        <v>1149</v>
      </c>
      <c r="D73" s="372">
        <v>23000</v>
      </c>
      <c r="E73" s="373"/>
      <c r="F73" s="373" t="s">
        <v>18</v>
      </c>
      <c r="G73" s="254"/>
    </row>
    <row r="74" spans="1:7" ht="22.5">
      <c r="A74" s="254"/>
      <c r="B74" s="254"/>
      <c r="C74" s="371" t="s">
        <v>1150</v>
      </c>
      <c r="D74" s="372">
        <v>8000</v>
      </c>
      <c r="E74" s="373"/>
      <c r="F74" s="373" t="s">
        <v>18</v>
      </c>
      <c r="G74" s="254"/>
    </row>
    <row r="75" spans="1:7" ht="22.5">
      <c r="A75" s="254"/>
      <c r="B75" s="254"/>
      <c r="C75" s="371" t="s">
        <v>1151</v>
      </c>
      <c r="D75" s="372">
        <v>900</v>
      </c>
      <c r="E75" s="373"/>
      <c r="F75" s="373" t="s">
        <v>18</v>
      </c>
      <c r="G75" s="254"/>
    </row>
    <row r="76" spans="1:7" ht="22.5">
      <c r="A76" s="254"/>
      <c r="B76" s="254"/>
      <c r="C76" s="371" t="s">
        <v>1152</v>
      </c>
      <c r="D76" s="372">
        <v>14000</v>
      </c>
      <c r="E76" s="373"/>
      <c r="F76" s="373" t="s">
        <v>18</v>
      </c>
      <c r="G76" s="254"/>
    </row>
    <row r="77" spans="1:7" ht="22.5">
      <c r="A77" s="254"/>
      <c r="B77" s="254"/>
      <c r="C77" s="371" t="s">
        <v>1153</v>
      </c>
      <c r="D77" s="372">
        <v>15000</v>
      </c>
      <c r="E77" s="373"/>
      <c r="F77" s="373" t="s">
        <v>18</v>
      </c>
      <c r="G77" s="254"/>
    </row>
    <row r="78" spans="1:7" ht="22.5">
      <c r="A78" s="254"/>
      <c r="B78" s="254"/>
      <c r="C78" s="371" t="s">
        <v>1154</v>
      </c>
      <c r="D78" s="372">
        <v>19000</v>
      </c>
      <c r="E78" s="373"/>
      <c r="F78" s="373" t="s">
        <v>18</v>
      </c>
      <c r="G78" s="254"/>
    </row>
    <row r="79" spans="1:7" ht="22.5">
      <c r="A79" s="254"/>
      <c r="B79" s="254"/>
      <c r="C79" s="371" t="s">
        <v>1155</v>
      </c>
      <c r="D79" s="372">
        <v>20000</v>
      </c>
      <c r="E79" s="373"/>
      <c r="F79" s="373" t="s">
        <v>18</v>
      </c>
      <c r="G79" s="254"/>
    </row>
    <row r="80" spans="1:7" ht="22.5">
      <c r="A80" s="254"/>
      <c r="B80" s="254"/>
      <c r="C80" s="371" t="s">
        <v>1156</v>
      </c>
      <c r="D80" s="372">
        <v>5000</v>
      </c>
      <c r="E80" s="373"/>
      <c r="F80" s="373" t="s">
        <v>18</v>
      </c>
      <c r="G80" s="254"/>
    </row>
    <row r="81" spans="1:7" ht="22.5">
      <c r="A81" s="254"/>
      <c r="B81" s="254"/>
      <c r="C81" s="371" t="s">
        <v>1157</v>
      </c>
      <c r="D81" s="372">
        <v>6000</v>
      </c>
      <c r="E81" s="373"/>
      <c r="F81" s="373" t="s">
        <v>18</v>
      </c>
      <c r="G81" s="254"/>
    </row>
    <row r="82" spans="1:7" ht="22.5">
      <c r="A82" s="254"/>
      <c r="B82" s="254"/>
      <c r="C82" s="371" t="s">
        <v>1158</v>
      </c>
      <c r="D82" s="372">
        <v>6000</v>
      </c>
      <c r="E82" s="373"/>
      <c r="F82" s="373" t="s">
        <v>18</v>
      </c>
      <c r="G82" s="254"/>
    </row>
    <row r="83" spans="1:7" ht="22.5">
      <c r="A83" s="254"/>
      <c r="B83" s="254"/>
      <c r="C83" s="371" t="s">
        <v>1159</v>
      </c>
      <c r="D83" s="372">
        <v>6000</v>
      </c>
      <c r="E83" s="373"/>
      <c r="F83" s="373" t="s">
        <v>18</v>
      </c>
      <c r="G83" s="254"/>
    </row>
    <row r="84" spans="1:7" ht="22.5">
      <c r="A84" s="254"/>
      <c r="B84" s="254"/>
      <c r="C84" s="371" t="s">
        <v>1160</v>
      </c>
      <c r="D84" s="372">
        <v>1800</v>
      </c>
      <c r="E84" s="373"/>
      <c r="F84" s="373" t="s">
        <v>18</v>
      </c>
      <c r="G84" s="254"/>
    </row>
    <row r="85" spans="1:7" ht="22.5">
      <c r="A85" s="254"/>
      <c r="B85" s="254"/>
      <c r="C85" s="371" t="s">
        <v>1161</v>
      </c>
      <c r="D85" s="372">
        <v>9000</v>
      </c>
      <c r="E85" s="373"/>
      <c r="F85" s="373" t="s">
        <v>18</v>
      </c>
      <c r="G85" s="254"/>
    </row>
    <row r="86" spans="1:7" ht="22.5">
      <c r="A86" s="254"/>
      <c r="B86" s="254"/>
      <c r="C86" s="371" t="s">
        <v>1162</v>
      </c>
      <c r="D86" s="372">
        <v>7000</v>
      </c>
      <c r="E86" s="373"/>
      <c r="F86" s="373" t="s">
        <v>18</v>
      </c>
      <c r="G86" s="254"/>
    </row>
    <row r="87" spans="1:7" ht="22.5">
      <c r="A87" s="254"/>
      <c r="B87" s="254"/>
      <c r="C87" s="371" t="s">
        <v>1163</v>
      </c>
      <c r="D87" s="372">
        <v>9000</v>
      </c>
      <c r="E87" s="373"/>
      <c r="F87" s="373" t="s">
        <v>18</v>
      </c>
      <c r="G87" s="254"/>
    </row>
    <row r="88" spans="1:7" ht="22.5">
      <c r="A88" s="254"/>
      <c r="B88" s="254"/>
      <c r="C88" s="371" t="s">
        <v>1164</v>
      </c>
      <c r="D88" s="372">
        <v>16000</v>
      </c>
      <c r="E88" s="373"/>
      <c r="F88" s="373" t="s">
        <v>18</v>
      </c>
      <c r="G88" s="254"/>
    </row>
    <row r="89" spans="1:7" ht="22.5">
      <c r="A89" s="254"/>
      <c r="B89" s="254"/>
      <c r="C89" s="371" t="s">
        <v>1165</v>
      </c>
      <c r="D89" s="372">
        <v>6000</v>
      </c>
      <c r="E89" s="373"/>
      <c r="F89" s="373" t="s">
        <v>18</v>
      </c>
      <c r="G89" s="254"/>
    </row>
    <row r="90" spans="1:7" ht="22.5">
      <c r="A90" s="254"/>
      <c r="B90" s="254"/>
      <c r="C90" s="371" t="s">
        <v>1166</v>
      </c>
      <c r="D90" s="372">
        <v>25000</v>
      </c>
      <c r="E90" s="373"/>
      <c r="F90" s="373" t="s">
        <v>18</v>
      </c>
      <c r="G90" s="254"/>
    </row>
    <row r="91" spans="1:7" ht="22.5">
      <c r="A91" s="254"/>
      <c r="B91" s="254"/>
      <c r="C91" s="371" t="s">
        <v>1167</v>
      </c>
      <c r="D91" s="372">
        <v>8000</v>
      </c>
      <c r="E91" s="373"/>
      <c r="F91" s="373" t="s">
        <v>18</v>
      </c>
      <c r="G91" s="254"/>
    </row>
    <row r="92" spans="1:7" ht="22.5">
      <c r="A92" s="254"/>
      <c r="B92" s="254"/>
      <c r="C92" s="371" t="s">
        <v>1168</v>
      </c>
      <c r="D92" s="372">
        <v>25000</v>
      </c>
      <c r="E92" s="373"/>
      <c r="F92" s="373" t="s">
        <v>18</v>
      </c>
      <c r="G92" s="254"/>
    </row>
    <row r="93" spans="1:7" ht="22.5">
      <c r="A93" s="254"/>
      <c r="B93" s="254"/>
      <c r="C93" s="371" t="s">
        <v>1169</v>
      </c>
      <c r="D93" s="372">
        <v>17000</v>
      </c>
      <c r="E93" s="373"/>
      <c r="F93" s="373" t="s">
        <v>18</v>
      </c>
      <c r="G93" s="254"/>
    </row>
    <row r="94" spans="1:7" ht="22.5">
      <c r="A94" s="254"/>
      <c r="B94" s="254"/>
      <c r="C94" s="371" t="s">
        <v>1170</v>
      </c>
      <c r="D94" s="372">
        <v>17000</v>
      </c>
      <c r="E94" s="373"/>
      <c r="F94" s="373" t="s">
        <v>18</v>
      </c>
      <c r="G94" s="254"/>
    </row>
    <row r="95" spans="1:7" ht="22.5">
      <c r="A95" s="254"/>
      <c r="B95" s="254"/>
      <c r="C95" s="371" t="s">
        <v>1171</v>
      </c>
      <c r="D95" s="372">
        <v>11000</v>
      </c>
      <c r="E95" s="373"/>
      <c r="F95" s="373" t="s">
        <v>18</v>
      </c>
      <c r="G95" s="254"/>
    </row>
    <row r="96" spans="1:7" ht="22.5">
      <c r="A96" s="254"/>
      <c r="B96" s="254"/>
      <c r="C96" s="371" t="s">
        <v>1172</v>
      </c>
      <c r="D96" s="372">
        <v>36000</v>
      </c>
      <c r="E96" s="373"/>
      <c r="F96" s="373" t="s">
        <v>18</v>
      </c>
      <c r="G96" s="254"/>
    </row>
    <row r="97" spans="1:7" ht="22.5">
      <c r="A97" s="254"/>
      <c r="B97" s="254"/>
      <c r="C97" s="371" t="s">
        <v>1173</v>
      </c>
      <c r="D97" s="372">
        <v>5000</v>
      </c>
      <c r="E97" s="373"/>
      <c r="F97" s="373" t="s">
        <v>18</v>
      </c>
      <c r="G97" s="254"/>
    </row>
    <row r="98" spans="1:7" ht="22.5">
      <c r="A98" s="254"/>
      <c r="B98" s="254"/>
      <c r="C98" s="371" t="s">
        <v>1174</v>
      </c>
      <c r="D98" s="372">
        <v>9000</v>
      </c>
      <c r="E98" s="373"/>
      <c r="F98" s="373" t="s">
        <v>18</v>
      </c>
      <c r="G98" s="254"/>
    </row>
    <row r="99" spans="1:7" s="33" customFormat="1">
      <c r="A99" s="34"/>
      <c r="B99" s="37"/>
      <c r="C99" s="35"/>
      <c r="D99" s="38" t="s">
        <v>135</v>
      </c>
      <c r="F99" s="668" t="s">
        <v>134</v>
      </c>
    </row>
    <row r="100" spans="1:7" s="33" customFormat="1">
      <c r="A100" s="34" t="s">
        <v>138</v>
      </c>
      <c r="B100" s="37"/>
      <c r="C100" s="35"/>
      <c r="D100" s="40"/>
      <c r="F100" s="36"/>
    </row>
    <row r="101" spans="1:7" ht="23.25">
      <c r="A101" s="254"/>
      <c r="B101" s="669" t="s">
        <v>140</v>
      </c>
      <c r="C101" s="670"/>
      <c r="D101" s="671"/>
      <c r="E101" s="254"/>
      <c r="F101" s="254"/>
      <c r="G101" s="254"/>
    </row>
    <row r="102" spans="1:7" ht="22.5">
      <c r="A102" s="254"/>
      <c r="B102" s="254"/>
      <c r="C102" s="371" t="s">
        <v>1175</v>
      </c>
      <c r="D102" s="372">
        <v>10000</v>
      </c>
      <c r="E102" s="373"/>
      <c r="F102" s="373" t="s">
        <v>18</v>
      </c>
      <c r="G102" s="254"/>
    </row>
    <row r="103" spans="1:7" ht="22.5">
      <c r="A103" s="254"/>
      <c r="B103" s="254"/>
      <c r="C103" s="371" t="s">
        <v>1176</v>
      </c>
      <c r="D103" s="372">
        <v>10000</v>
      </c>
      <c r="E103" s="373"/>
      <c r="F103" s="373" t="s">
        <v>18</v>
      </c>
      <c r="G103" s="254"/>
    </row>
    <row r="104" spans="1:7" ht="22.5">
      <c r="A104" s="254"/>
      <c r="B104" s="254"/>
      <c r="C104" s="371" t="s">
        <v>1177</v>
      </c>
      <c r="D104" s="372">
        <v>49800</v>
      </c>
      <c r="E104" s="373"/>
      <c r="F104" s="373" t="s">
        <v>18</v>
      </c>
      <c r="G104" s="254"/>
    </row>
    <row r="105" spans="1:7" ht="22.5">
      <c r="A105" s="254"/>
      <c r="B105" s="254"/>
      <c r="C105" s="371" t="s">
        <v>1178</v>
      </c>
      <c r="D105" s="372">
        <v>489000</v>
      </c>
      <c r="E105" s="373"/>
      <c r="F105" s="373" t="s">
        <v>18</v>
      </c>
      <c r="G105" s="254"/>
    </row>
    <row r="106" spans="1:7" ht="22.5">
      <c r="A106" s="254"/>
      <c r="B106" s="254"/>
      <c r="C106" s="371" t="s">
        <v>1179</v>
      </c>
      <c r="D106" s="372">
        <v>100000</v>
      </c>
      <c r="E106" s="373"/>
      <c r="F106" s="373" t="s">
        <v>18</v>
      </c>
      <c r="G106" s="254"/>
    </row>
    <row r="107" spans="1:7" ht="22.5">
      <c r="A107" s="254"/>
      <c r="B107" s="254"/>
      <c r="C107" s="371" t="s">
        <v>1180</v>
      </c>
      <c r="D107" s="372">
        <v>499600</v>
      </c>
      <c r="E107" s="373"/>
      <c r="F107" s="373" t="s">
        <v>18</v>
      </c>
      <c r="G107" s="254"/>
    </row>
    <row r="108" spans="1:7" ht="22.5">
      <c r="A108" s="254"/>
      <c r="B108" s="254"/>
      <c r="C108" s="374"/>
      <c r="D108" s="375"/>
      <c r="E108" s="373"/>
      <c r="F108" s="373"/>
      <c r="G108" s="254"/>
    </row>
    <row r="109" spans="1:7" ht="22.5">
      <c r="A109" s="254"/>
      <c r="B109" s="254"/>
      <c r="C109" s="374" t="s">
        <v>999</v>
      </c>
      <c r="D109" s="372">
        <v>475200</v>
      </c>
      <c r="E109" s="373"/>
      <c r="F109" s="373" t="s">
        <v>18</v>
      </c>
      <c r="G109" s="254"/>
    </row>
    <row r="110" spans="1:7" ht="22.5">
      <c r="A110" s="254"/>
      <c r="B110" s="254"/>
      <c r="C110" s="374" t="s">
        <v>1000</v>
      </c>
      <c r="D110" s="376"/>
      <c r="E110" s="373"/>
      <c r="F110" s="373"/>
      <c r="G110" s="254"/>
    </row>
    <row r="111" spans="1:7" ht="23.25">
      <c r="A111" s="254"/>
      <c r="B111" s="254"/>
      <c r="C111" s="367" t="s">
        <v>35</v>
      </c>
      <c r="D111" s="368">
        <f>SUM(D36:D110)</f>
        <v>2983700</v>
      </c>
      <c r="E111" s="254"/>
      <c r="F111" s="254"/>
      <c r="G111" s="254"/>
    </row>
    <row r="112" spans="1:7" ht="24" thickBot="1">
      <c r="A112" s="254"/>
      <c r="B112" s="254"/>
      <c r="C112" s="367" t="s">
        <v>40</v>
      </c>
      <c r="D112" s="364">
        <f>D31+D111</f>
        <v>6695300</v>
      </c>
      <c r="E112" s="254"/>
      <c r="F112" s="254"/>
      <c r="G112" s="254"/>
    </row>
    <row r="113" ht="20.25" thickTop="1"/>
  </sheetData>
  <mergeCells count="1">
    <mergeCell ref="A1:F1"/>
  </mergeCells>
  <pageMargins left="0.39" right="0.21" top="0.75" bottom="0.63" header="0.3" footer="0.3"/>
  <pageSetup paperSize="9"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O462"/>
  <sheetViews>
    <sheetView workbookViewId="0">
      <selection activeCell="N20" sqref="N20"/>
    </sheetView>
  </sheetViews>
  <sheetFormatPr defaultRowHeight="20.25"/>
  <cols>
    <col min="1" max="1" width="45.75" style="112" customWidth="1"/>
    <col min="2" max="2" width="14.5" style="112" bestFit="1" customWidth="1"/>
    <col min="3" max="3" width="36.25" style="112" customWidth="1"/>
    <col min="4" max="4" width="12.75" style="111" bestFit="1" customWidth="1"/>
    <col min="5" max="5" width="13.375" style="112" customWidth="1"/>
    <col min="6" max="6" width="12.25" style="112" bestFit="1" customWidth="1"/>
    <col min="7" max="14" width="5.25" style="112" bestFit="1" customWidth="1"/>
    <col min="15" max="16384" width="9" style="112"/>
  </cols>
  <sheetData>
    <row r="1" spans="1:6">
      <c r="A1" s="813" t="s">
        <v>264</v>
      </c>
      <c r="B1" s="814"/>
      <c r="C1" s="814"/>
      <c r="D1" s="814"/>
      <c r="E1" s="814"/>
      <c r="F1" s="814"/>
    </row>
    <row r="2" spans="1:6">
      <c r="A2" s="813" t="s">
        <v>404</v>
      </c>
      <c r="B2" s="814"/>
      <c r="C2" s="814"/>
      <c r="D2" s="814"/>
      <c r="E2" s="814"/>
      <c r="F2" s="814"/>
    </row>
    <row r="3" spans="1:6">
      <c r="A3" s="815" t="s">
        <v>864</v>
      </c>
      <c r="B3" s="816"/>
      <c r="C3" s="816"/>
      <c r="D3" s="816"/>
      <c r="E3" s="816"/>
      <c r="F3" s="816"/>
    </row>
    <row r="4" spans="1:6">
      <c r="A4" s="113" t="s">
        <v>291</v>
      </c>
      <c r="B4" s="113" t="s">
        <v>405</v>
      </c>
      <c r="C4" s="113" t="s">
        <v>49</v>
      </c>
      <c r="D4" s="114" t="s">
        <v>66</v>
      </c>
      <c r="E4" s="113" t="s">
        <v>351</v>
      </c>
      <c r="F4" s="113" t="s">
        <v>62</v>
      </c>
    </row>
    <row r="5" spans="1:6">
      <c r="A5" s="115"/>
      <c r="B5" s="115"/>
      <c r="C5" s="115"/>
      <c r="D5" s="116"/>
      <c r="E5" s="115" t="s">
        <v>406</v>
      </c>
      <c r="F5" s="115"/>
    </row>
    <row r="6" spans="1:6">
      <c r="A6" s="117" t="s">
        <v>407</v>
      </c>
      <c r="B6" s="118"/>
      <c r="C6" s="118"/>
      <c r="D6" s="119"/>
      <c r="E6" s="120"/>
      <c r="F6" s="120"/>
    </row>
    <row r="7" spans="1:6">
      <c r="A7" s="121" t="s">
        <v>408</v>
      </c>
      <c r="B7" s="122" t="s">
        <v>409</v>
      </c>
      <c r="C7" s="123" t="s">
        <v>410</v>
      </c>
      <c r="D7" s="105">
        <f>169500-1</f>
        <v>169499</v>
      </c>
      <c r="E7" s="105">
        <v>158786</v>
      </c>
      <c r="F7" s="124">
        <f t="shared" ref="F7:F14" si="0">D7-E7</f>
        <v>10713</v>
      </c>
    </row>
    <row r="8" spans="1:6">
      <c r="A8" s="121" t="s">
        <v>411</v>
      </c>
      <c r="B8" s="124"/>
      <c r="C8" s="124" t="s">
        <v>412</v>
      </c>
      <c r="D8" s="105">
        <f>11094000-50000</f>
        <v>11044000</v>
      </c>
      <c r="E8" s="105">
        <v>11043200</v>
      </c>
      <c r="F8" s="124">
        <f>D8-E8</f>
        <v>800</v>
      </c>
    </row>
    <row r="9" spans="1:6">
      <c r="A9" s="121" t="s">
        <v>413</v>
      </c>
      <c r="B9" s="124"/>
      <c r="C9" s="124" t="s">
        <v>412</v>
      </c>
      <c r="D9" s="105">
        <f>2784000+15000+7440+15000+13600+45000+10000+15000+10000+20000+10000+37350+6810+50000</f>
        <v>3039200</v>
      </c>
      <c r="E9" s="105">
        <v>3039200</v>
      </c>
      <c r="F9" s="124">
        <f t="shared" si="0"/>
        <v>0</v>
      </c>
    </row>
    <row r="10" spans="1:6">
      <c r="A10" s="121" t="s">
        <v>414</v>
      </c>
      <c r="B10" s="124"/>
      <c r="C10" s="125" t="s">
        <v>412</v>
      </c>
      <c r="D10" s="105">
        <f>12000+5000</f>
        <v>17000</v>
      </c>
      <c r="E10" s="105">
        <v>17000</v>
      </c>
      <c r="F10" s="124">
        <f t="shared" si="0"/>
        <v>0</v>
      </c>
    </row>
    <row r="11" spans="1:6">
      <c r="A11" s="121" t="s">
        <v>415</v>
      </c>
      <c r="B11" s="124"/>
      <c r="C11" s="125" t="s">
        <v>412</v>
      </c>
      <c r="D11" s="105">
        <v>500000</v>
      </c>
      <c r="E11" s="105">
        <v>247170</v>
      </c>
      <c r="F11" s="124">
        <f t="shared" si="0"/>
        <v>252830</v>
      </c>
    </row>
    <row r="12" spans="1:6">
      <c r="A12" s="121" t="s">
        <v>416</v>
      </c>
      <c r="B12" s="124"/>
      <c r="C12" s="125" t="s">
        <v>412</v>
      </c>
      <c r="D12" s="105">
        <v>140000</v>
      </c>
      <c r="E12" s="105">
        <v>140000</v>
      </c>
      <c r="F12" s="124">
        <f t="shared" si="0"/>
        <v>0</v>
      </c>
    </row>
    <row r="13" spans="1:6">
      <c r="A13" s="121" t="s">
        <v>417</v>
      </c>
      <c r="B13" s="124"/>
      <c r="C13" s="125" t="s">
        <v>412</v>
      </c>
      <c r="D13" s="105">
        <f>190700+1</f>
        <v>190701</v>
      </c>
      <c r="E13" s="105">
        <v>190700.45</v>
      </c>
      <c r="F13" s="124">
        <f t="shared" si="0"/>
        <v>0.54999999998835847</v>
      </c>
    </row>
    <row r="14" spans="1:6">
      <c r="A14" s="126" t="s">
        <v>1044</v>
      </c>
      <c r="B14" s="127"/>
      <c r="C14" s="128" t="s">
        <v>412</v>
      </c>
      <c r="D14" s="106">
        <v>10000</v>
      </c>
      <c r="E14" s="106">
        <v>6820</v>
      </c>
      <c r="F14" s="124">
        <f t="shared" si="0"/>
        <v>3180</v>
      </c>
    </row>
    <row r="15" spans="1:6">
      <c r="A15" s="129" t="s">
        <v>418</v>
      </c>
      <c r="B15" s="129"/>
      <c r="C15" s="129"/>
      <c r="D15" s="130">
        <f>SUM(D7:D14)</f>
        <v>15110400</v>
      </c>
      <c r="E15" s="131">
        <f>SUM(E7:E14)</f>
        <v>14842876.449999999</v>
      </c>
      <c r="F15" s="131">
        <f>D15-E15</f>
        <v>267523.55000000075</v>
      </c>
    </row>
    <row r="16" spans="1:6">
      <c r="A16" s="132" t="s">
        <v>419</v>
      </c>
      <c r="B16" s="133"/>
      <c r="C16" s="134"/>
      <c r="D16" s="119"/>
      <c r="E16" s="120"/>
      <c r="F16" s="120"/>
    </row>
    <row r="17" spans="1:6">
      <c r="A17" s="121" t="s">
        <v>420</v>
      </c>
      <c r="B17" s="135" t="s">
        <v>409</v>
      </c>
      <c r="C17" s="136" t="s">
        <v>421</v>
      </c>
      <c r="D17" s="105">
        <f>514080-50000-25000-300000-100000-30000</f>
        <v>9080</v>
      </c>
      <c r="E17" s="105">
        <v>0</v>
      </c>
      <c r="F17" s="124">
        <f>D17-E17</f>
        <v>9080</v>
      </c>
    </row>
    <row r="18" spans="1:6">
      <c r="A18" s="121" t="s">
        <v>422</v>
      </c>
      <c r="B18" s="135"/>
      <c r="C18" s="137" t="s">
        <v>423</v>
      </c>
      <c r="D18" s="105">
        <f>42120-40000</f>
        <v>2120</v>
      </c>
      <c r="E18" s="105">
        <v>0</v>
      </c>
      <c r="F18" s="124">
        <f t="shared" ref="F18:F21" si="1">D18-E18</f>
        <v>2120</v>
      </c>
    </row>
    <row r="19" spans="1:6">
      <c r="A19" s="121" t="s">
        <v>424</v>
      </c>
      <c r="B19" s="135"/>
      <c r="C19" s="137" t="s">
        <v>423</v>
      </c>
      <c r="D19" s="105">
        <f>42120-30000</f>
        <v>12120</v>
      </c>
      <c r="E19" s="105">
        <v>0</v>
      </c>
      <c r="F19" s="124">
        <f t="shared" si="1"/>
        <v>12120</v>
      </c>
    </row>
    <row r="20" spans="1:6">
      <c r="A20" s="121" t="s">
        <v>425</v>
      </c>
      <c r="B20" s="135"/>
      <c r="C20" s="137" t="s">
        <v>423</v>
      </c>
      <c r="D20" s="105">
        <f>86400-86400</f>
        <v>0</v>
      </c>
      <c r="E20" s="105">
        <v>0</v>
      </c>
      <c r="F20" s="124">
        <f t="shared" si="1"/>
        <v>0</v>
      </c>
    </row>
    <row r="21" spans="1:6">
      <c r="A21" s="126" t="s">
        <v>426</v>
      </c>
      <c r="B21" s="138"/>
      <c r="C21" s="332" t="s">
        <v>423</v>
      </c>
      <c r="D21" s="106">
        <f>3096000</f>
        <v>3096000</v>
      </c>
      <c r="E21" s="106">
        <v>2836800</v>
      </c>
      <c r="F21" s="124">
        <f t="shared" si="1"/>
        <v>259200</v>
      </c>
    </row>
    <row r="22" spans="1:6">
      <c r="A22" s="129" t="s">
        <v>360</v>
      </c>
      <c r="B22" s="142"/>
      <c r="C22" s="142"/>
      <c r="D22" s="130">
        <f>D17+D18+D19+D20+D21</f>
        <v>3119320</v>
      </c>
      <c r="E22" s="130">
        <f>E17+E18+E19+E20+E21</f>
        <v>2836800</v>
      </c>
      <c r="F22" s="143">
        <f t="shared" ref="F22" si="2">D22-E22</f>
        <v>282520</v>
      </c>
    </row>
    <row r="23" spans="1:6">
      <c r="A23" s="132" t="s">
        <v>427</v>
      </c>
      <c r="B23" s="144"/>
      <c r="C23" s="144"/>
      <c r="D23" s="119"/>
      <c r="E23" s="120"/>
      <c r="F23" s="120"/>
    </row>
    <row r="24" spans="1:6">
      <c r="A24" s="121" t="s">
        <v>428</v>
      </c>
      <c r="B24" s="135" t="s">
        <v>409</v>
      </c>
      <c r="C24" s="136" t="s">
        <v>421</v>
      </c>
      <c r="D24" s="105">
        <f>2746860-10000</f>
        <v>2736860</v>
      </c>
      <c r="E24" s="124">
        <v>2295850</v>
      </c>
      <c r="F24" s="124">
        <f t="shared" ref="F24:F29" si="3">D24-E24</f>
        <v>441010</v>
      </c>
    </row>
    <row r="25" spans="1:6">
      <c r="A25" s="121" t="s">
        <v>429</v>
      </c>
      <c r="B25" s="135"/>
      <c r="C25" s="145" t="s">
        <v>423</v>
      </c>
      <c r="D25" s="105">
        <v>84000</v>
      </c>
      <c r="E25" s="124">
        <v>84000</v>
      </c>
      <c r="F25" s="124">
        <f t="shared" si="3"/>
        <v>0</v>
      </c>
    </row>
    <row r="26" spans="1:6">
      <c r="A26" s="146" t="s">
        <v>430</v>
      </c>
      <c r="B26" s="147"/>
      <c r="C26" s="145" t="s">
        <v>423</v>
      </c>
      <c r="D26" s="148">
        <v>168000</v>
      </c>
      <c r="E26" s="149">
        <v>126000</v>
      </c>
      <c r="F26" s="149">
        <f t="shared" si="3"/>
        <v>42000</v>
      </c>
    </row>
    <row r="27" spans="1:6">
      <c r="A27" s="150" t="s">
        <v>431</v>
      </c>
      <c r="B27" s="142"/>
      <c r="C27" s="151"/>
      <c r="D27" s="152">
        <f>SUM(D24:D26)</f>
        <v>2988860</v>
      </c>
      <c r="E27" s="152">
        <f>SUM(E24:E26)</f>
        <v>2505850</v>
      </c>
      <c r="F27" s="143">
        <f>D27-E27</f>
        <v>483010</v>
      </c>
    </row>
    <row r="28" spans="1:6">
      <c r="A28" s="120" t="s">
        <v>432</v>
      </c>
      <c r="B28" s="144"/>
      <c r="C28" s="333" t="s">
        <v>423</v>
      </c>
      <c r="D28" s="119">
        <v>691080</v>
      </c>
      <c r="E28" s="120">
        <v>691080</v>
      </c>
      <c r="F28" s="120">
        <f t="shared" si="3"/>
        <v>0</v>
      </c>
    </row>
    <row r="29" spans="1:6">
      <c r="A29" s="127" t="s">
        <v>433</v>
      </c>
      <c r="B29" s="138"/>
      <c r="C29" s="332" t="s">
        <v>423</v>
      </c>
      <c r="D29" s="106">
        <v>56280</v>
      </c>
      <c r="E29" s="127">
        <v>56280</v>
      </c>
      <c r="F29" s="127">
        <f t="shared" si="3"/>
        <v>0</v>
      </c>
    </row>
    <row r="30" spans="1:6">
      <c r="A30" s="150" t="s">
        <v>434</v>
      </c>
      <c r="B30" s="142"/>
      <c r="C30" s="151"/>
      <c r="D30" s="152">
        <f>SUM(D28:D29)</f>
        <v>747360</v>
      </c>
      <c r="E30" s="152">
        <f>SUM(E28:E29)</f>
        <v>747360</v>
      </c>
      <c r="F30" s="143">
        <f>D30-E30</f>
        <v>0</v>
      </c>
    </row>
    <row r="31" spans="1:6">
      <c r="A31" s="153" t="s">
        <v>35</v>
      </c>
      <c r="B31" s="139"/>
      <c r="C31" s="139"/>
      <c r="D31" s="672">
        <f>D27+D30</f>
        <v>3736220</v>
      </c>
      <c r="E31" s="672">
        <f>E27+E30</f>
        <v>3253210</v>
      </c>
      <c r="F31" s="140">
        <f>D31-E31</f>
        <v>483010</v>
      </c>
    </row>
    <row r="32" spans="1:6">
      <c r="A32" s="154" t="s">
        <v>435</v>
      </c>
      <c r="B32" s="155" t="s">
        <v>436</v>
      </c>
      <c r="C32" s="156" t="s">
        <v>437</v>
      </c>
      <c r="D32" s="157">
        <v>1569180</v>
      </c>
      <c r="E32" s="154">
        <v>1103460</v>
      </c>
      <c r="F32" s="154">
        <f t="shared" ref="F32:F59" si="4">D32-E32</f>
        <v>465720</v>
      </c>
    </row>
    <row r="33" spans="1:6">
      <c r="A33" s="158" t="s">
        <v>438</v>
      </c>
      <c r="B33" s="159"/>
      <c r="C33" s="160" t="s">
        <v>439</v>
      </c>
      <c r="D33" s="157">
        <v>19560</v>
      </c>
      <c r="E33" s="154">
        <v>0</v>
      </c>
      <c r="F33" s="154">
        <f>D33-E33</f>
        <v>19560</v>
      </c>
    </row>
    <row r="34" spans="1:6" s="111" customFormat="1">
      <c r="A34" s="334" t="s">
        <v>440</v>
      </c>
      <c r="B34" s="148"/>
      <c r="C34" s="160" t="s">
        <v>439</v>
      </c>
      <c r="D34" s="157">
        <v>42000</v>
      </c>
      <c r="E34" s="154">
        <v>42000</v>
      </c>
      <c r="F34" s="154">
        <f>D34-E34</f>
        <v>0</v>
      </c>
    </row>
    <row r="35" spans="1:6" s="111" customFormat="1">
      <c r="A35" s="161" t="s">
        <v>431</v>
      </c>
      <c r="B35" s="152"/>
      <c r="C35" s="162"/>
      <c r="D35" s="152">
        <f>SUM(D32:D34)</f>
        <v>1630740</v>
      </c>
      <c r="E35" s="152">
        <f>SUM(E32:E34)</f>
        <v>1145460</v>
      </c>
      <c r="F35" s="143">
        <f>D35-E35</f>
        <v>485280</v>
      </c>
    </row>
    <row r="36" spans="1:6" s="111" customFormat="1">
      <c r="A36" s="157" t="s">
        <v>441</v>
      </c>
      <c r="B36" s="157"/>
      <c r="C36" s="163" t="s">
        <v>439</v>
      </c>
      <c r="D36" s="157">
        <v>437400</v>
      </c>
      <c r="E36" s="157">
        <v>418426</v>
      </c>
      <c r="F36" s="157">
        <f t="shared" si="4"/>
        <v>18974</v>
      </c>
    </row>
    <row r="37" spans="1:6" s="111" customFormat="1">
      <c r="A37" s="148" t="s">
        <v>442</v>
      </c>
      <c r="B37" s="148"/>
      <c r="C37" s="160" t="s">
        <v>439</v>
      </c>
      <c r="D37" s="148">
        <v>39900</v>
      </c>
      <c r="E37" s="148">
        <v>36833</v>
      </c>
      <c r="F37" s="148">
        <f t="shared" si="4"/>
        <v>3067</v>
      </c>
    </row>
    <row r="38" spans="1:6" s="111" customFormat="1">
      <c r="A38" s="161" t="s">
        <v>434</v>
      </c>
      <c r="B38" s="152"/>
      <c r="C38" s="162"/>
      <c r="D38" s="152">
        <f>SUM(D36:D37)</f>
        <v>477300</v>
      </c>
      <c r="E38" s="152">
        <f>SUM(E36:E37)</f>
        <v>455259</v>
      </c>
      <c r="F38" s="143">
        <f>D38-E38</f>
        <v>22041</v>
      </c>
    </row>
    <row r="39" spans="1:6">
      <c r="A39" s="129" t="s">
        <v>35</v>
      </c>
      <c r="B39" s="143"/>
      <c r="C39" s="143"/>
      <c r="D39" s="130">
        <f>D35+D38</f>
        <v>2108040</v>
      </c>
      <c r="E39" s="130">
        <f>E35+E38</f>
        <v>1600719</v>
      </c>
      <c r="F39" s="131">
        <f>D39-E39</f>
        <v>507321</v>
      </c>
    </row>
    <row r="40" spans="1:6">
      <c r="A40" s="154" t="s">
        <v>435</v>
      </c>
      <c r="B40" s="155" t="s">
        <v>443</v>
      </c>
      <c r="C40" s="154" t="s">
        <v>444</v>
      </c>
      <c r="D40" s="157">
        <v>733500</v>
      </c>
      <c r="E40" s="154">
        <v>689160</v>
      </c>
      <c r="F40" s="154">
        <f t="shared" si="4"/>
        <v>44340</v>
      </c>
    </row>
    <row r="41" spans="1:6">
      <c r="A41" s="148" t="s">
        <v>1014</v>
      </c>
      <c r="B41" s="159"/>
      <c r="C41" s="164" t="s">
        <v>445</v>
      </c>
      <c r="D41" s="157">
        <v>42000</v>
      </c>
      <c r="E41" s="154">
        <v>42000</v>
      </c>
      <c r="F41" s="154">
        <f>D41-E41</f>
        <v>0</v>
      </c>
    </row>
    <row r="42" spans="1:6">
      <c r="A42" s="161" t="s">
        <v>431</v>
      </c>
      <c r="B42" s="152"/>
      <c r="C42" s="162"/>
      <c r="D42" s="152">
        <f>SUM(D40:D41)</f>
        <v>775500</v>
      </c>
      <c r="E42" s="152">
        <f>SUM(E40:E41)</f>
        <v>731160</v>
      </c>
      <c r="F42" s="143">
        <f t="shared" si="4"/>
        <v>44340</v>
      </c>
    </row>
    <row r="43" spans="1:6">
      <c r="A43" s="157" t="s">
        <v>464</v>
      </c>
      <c r="B43" s="154"/>
      <c r="C43" s="155" t="s">
        <v>439</v>
      </c>
      <c r="D43" s="157">
        <v>433920</v>
      </c>
      <c r="E43" s="154">
        <v>433920</v>
      </c>
      <c r="F43" s="154">
        <f t="shared" si="4"/>
        <v>0</v>
      </c>
    </row>
    <row r="44" spans="1:6">
      <c r="A44" s="148" t="s">
        <v>465</v>
      </c>
      <c r="B44" s="149"/>
      <c r="C44" s="164" t="s">
        <v>439</v>
      </c>
      <c r="D44" s="148">
        <v>44340</v>
      </c>
      <c r="E44" s="149">
        <v>44340</v>
      </c>
      <c r="F44" s="149">
        <f t="shared" si="4"/>
        <v>0</v>
      </c>
    </row>
    <row r="45" spans="1:6">
      <c r="A45" s="161" t="s">
        <v>434</v>
      </c>
      <c r="B45" s="152"/>
      <c r="C45" s="162"/>
      <c r="D45" s="152">
        <f>SUM(D43:D44)</f>
        <v>478260</v>
      </c>
      <c r="E45" s="152">
        <f>SUM(E43:E44)</f>
        <v>478260</v>
      </c>
      <c r="F45" s="143">
        <f t="shared" si="4"/>
        <v>0</v>
      </c>
    </row>
    <row r="46" spans="1:6">
      <c r="A46" s="129" t="s">
        <v>35</v>
      </c>
      <c r="B46" s="143"/>
      <c r="C46" s="143"/>
      <c r="D46" s="130">
        <f>D42+D45</f>
        <v>1253760</v>
      </c>
      <c r="E46" s="130">
        <f>E42+E45</f>
        <v>1209420</v>
      </c>
      <c r="F46" s="131">
        <f t="shared" si="4"/>
        <v>44340</v>
      </c>
    </row>
    <row r="47" spans="1:6">
      <c r="A47" s="154" t="s">
        <v>435</v>
      </c>
      <c r="B47" s="154" t="s">
        <v>446</v>
      </c>
      <c r="C47" s="154" t="s">
        <v>447</v>
      </c>
      <c r="D47" s="157">
        <v>356160</v>
      </c>
      <c r="E47" s="154">
        <v>349440</v>
      </c>
      <c r="F47" s="165">
        <f t="shared" si="4"/>
        <v>6720</v>
      </c>
    </row>
    <row r="48" spans="1:6">
      <c r="A48" s="148" t="s">
        <v>448</v>
      </c>
      <c r="B48" s="166" t="s">
        <v>449</v>
      </c>
      <c r="C48" s="164" t="s">
        <v>439</v>
      </c>
      <c r="D48" s="148">
        <v>42000</v>
      </c>
      <c r="E48" s="149">
        <v>42000</v>
      </c>
      <c r="F48" s="167">
        <f t="shared" si="4"/>
        <v>0</v>
      </c>
    </row>
    <row r="49" spans="1:15">
      <c r="A49" s="161" t="s">
        <v>431</v>
      </c>
      <c r="B49" s="152"/>
      <c r="C49" s="168" t="s">
        <v>439</v>
      </c>
      <c r="D49" s="152">
        <f>SUM(D47:D48)</f>
        <v>398160</v>
      </c>
      <c r="E49" s="152">
        <f>SUM(E47:E48)</f>
        <v>391440</v>
      </c>
      <c r="F49" s="143">
        <f t="shared" si="4"/>
        <v>6720</v>
      </c>
    </row>
    <row r="50" spans="1:15">
      <c r="A50" s="119" t="s">
        <v>450</v>
      </c>
      <c r="B50" s="120"/>
      <c r="C50" s="465" t="s">
        <v>439</v>
      </c>
      <c r="D50" s="119">
        <f>143520-50000-60000</f>
        <v>33520</v>
      </c>
      <c r="E50" s="120">
        <v>0</v>
      </c>
      <c r="F50" s="132">
        <f t="shared" si="4"/>
        <v>33520</v>
      </c>
    </row>
    <row r="51" spans="1:15">
      <c r="A51" s="106" t="s">
        <v>865</v>
      </c>
      <c r="B51" s="127"/>
      <c r="C51" s="466" t="s">
        <v>439</v>
      </c>
      <c r="D51" s="106">
        <v>15900</v>
      </c>
      <c r="E51" s="127">
        <v>0</v>
      </c>
      <c r="F51" s="467">
        <f t="shared" si="4"/>
        <v>15900</v>
      </c>
    </row>
    <row r="52" spans="1:15">
      <c r="A52" s="161" t="s">
        <v>434</v>
      </c>
      <c r="B52" s="169"/>
      <c r="C52" s="168" t="s">
        <v>439</v>
      </c>
      <c r="D52" s="169">
        <f>SUM(D50:D51)</f>
        <v>49420</v>
      </c>
      <c r="E52" s="152">
        <f>SUM(E50:E50)</f>
        <v>0</v>
      </c>
      <c r="F52" s="143">
        <f t="shared" si="4"/>
        <v>49420</v>
      </c>
    </row>
    <row r="53" spans="1:15" s="171" customFormat="1">
      <c r="A53" s="129" t="s">
        <v>35</v>
      </c>
      <c r="B53" s="143"/>
      <c r="C53" s="168" t="s">
        <v>439</v>
      </c>
      <c r="D53" s="130">
        <f>D49+D52</f>
        <v>447580</v>
      </c>
      <c r="E53" s="130">
        <f>E49+E52</f>
        <v>391440</v>
      </c>
      <c r="F53" s="131">
        <f t="shared" si="4"/>
        <v>56140</v>
      </c>
      <c r="G53" s="170"/>
      <c r="H53" s="170"/>
      <c r="I53" s="170"/>
      <c r="J53" s="170"/>
      <c r="K53" s="170"/>
      <c r="L53" s="170"/>
      <c r="M53" s="170"/>
      <c r="N53" s="170"/>
      <c r="O53" s="170"/>
    </row>
    <row r="54" spans="1:15">
      <c r="A54" s="143" t="s">
        <v>435</v>
      </c>
      <c r="B54" s="143" t="s">
        <v>451</v>
      </c>
      <c r="C54" s="143" t="s">
        <v>452</v>
      </c>
      <c r="D54" s="152">
        <v>1127880</v>
      </c>
      <c r="E54" s="152">
        <v>1110000</v>
      </c>
      <c r="F54" s="143">
        <f t="shared" si="4"/>
        <v>17880</v>
      </c>
    </row>
    <row r="55" spans="1:15">
      <c r="A55" s="158" t="s">
        <v>453</v>
      </c>
      <c r="B55" s="158"/>
      <c r="C55" s="158"/>
      <c r="D55" s="673">
        <v>84000</v>
      </c>
      <c r="E55" s="673">
        <v>84000</v>
      </c>
      <c r="F55" s="143">
        <f t="shared" si="4"/>
        <v>0</v>
      </c>
    </row>
    <row r="56" spans="1:15">
      <c r="A56" s="161" t="s">
        <v>431</v>
      </c>
      <c r="B56" s="152"/>
      <c r="C56" s="162"/>
      <c r="D56" s="152">
        <f>+D54+D55</f>
        <v>1211880</v>
      </c>
      <c r="E56" s="152">
        <f>SUM(E54:E55)</f>
        <v>1194000</v>
      </c>
      <c r="F56" s="143">
        <f t="shared" si="4"/>
        <v>17880</v>
      </c>
    </row>
    <row r="57" spans="1:15">
      <c r="A57" s="119" t="s">
        <v>454</v>
      </c>
      <c r="B57" s="120"/>
      <c r="C57" s="120"/>
      <c r="D57" s="119">
        <v>747360</v>
      </c>
      <c r="E57" s="120">
        <v>747360</v>
      </c>
      <c r="F57" s="120">
        <f t="shared" si="4"/>
        <v>0</v>
      </c>
    </row>
    <row r="58" spans="1:15">
      <c r="A58" s="106" t="s">
        <v>455</v>
      </c>
      <c r="B58" s="127"/>
      <c r="C58" s="127"/>
      <c r="D58" s="106">
        <v>77640</v>
      </c>
      <c r="E58" s="127">
        <v>77640</v>
      </c>
      <c r="F58" s="127">
        <f t="shared" si="4"/>
        <v>0</v>
      </c>
    </row>
    <row r="59" spans="1:15">
      <c r="A59" s="161" t="s">
        <v>434</v>
      </c>
      <c r="B59" s="152"/>
      <c r="C59" s="162"/>
      <c r="D59" s="152">
        <f>SUM(D57:D58)</f>
        <v>825000</v>
      </c>
      <c r="E59" s="152">
        <f>SUM(E57:E58)</f>
        <v>825000</v>
      </c>
      <c r="F59" s="143">
        <f t="shared" si="4"/>
        <v>0</v>
      </c>
    </row>
    <row r="60" spans="1:15" s="171" customFormat="1">
      <c r="A60" s="129" t="s">
        <v>35</v>
      </c>
      <c r="B60" s="143"/>
      <c r="C60" s="143"/>
      <c r="D60" s="130">
        <f>D56+D59</f>
        <v>2036880</v>
      </c>
      <c r="E60" s="130">
        <f>E56+E59</f>
        <v>2019000</v>
      </c>
      <c r="F60" s="131">
        <f t="shared" ref="F60:F78" si="5">D60-E60</f>
        <v>17880</v>
      </c>
      <c r="G60" s="170"/>
      <c r="H60" s="170"/>
      <c r="I60" s="170"/>
      <c r="J60" s="170"/>
      <c r="K60" s="170"/>
      <c r="L60" s="170"/>
      <c r="M60" s="170"/>
      <c r="N60" s="170"/>
      <c r="O60" s="170"/>
    </row>
    <row r="61" spans="1:15">
      <c r="A61" s="108" t="s">
        <v>456</v>
      </c>
      <c r="B61" s="154" t="s">
        <v>457</v>
      </c>
      <c r="C61" s="108" t="s">
        <v>1050</v>
      </c>
      <c r="D61" s="157">
        <f>634800-47000-380000</f>
        <v>207800</v>
      </c>
      <c r="E61" s="154">
        <v>192360</v>
      </c>
      <c r="F61" s="154">
        <f t="shared" si="5"/>
        <v>15440</v>
      </c>
    </row>
    <row r="62" spans="1:15">
      <c r="A62" s="166" t="s">
        <v>458</v>
      </c>
      <c r="B62" s="149"/>
      <c r="C62" s="164" t="s">
        <v>445</v>
      </c>
      <c r="D62" s="148">
        <v>42000</v>
      </c>
      <c r="E62" s="149">
        <v>0</v>
      </c>
      <c r="F62" s="149">
        <f t="shared" si="5"/>
        <v>42000</v>
      </c>
    </row>
    <row r="63" spans="1:15">
      <c r="A63" s="161" t="s">
        <v>431</v>
      </c>
      <c r="B63" s="152"/>
      <c r="C63" s="168" t="s">
        <v>445</v>
      </c>
      <c r="D63" s="130">
        <f>SUM(D61:D62)</f>
        <v>249800</v>
      </c>
      <c r="E63" s="152">
        <f>SUM(E61:E62)</f>
        <v>192360</v>
      </c>
      <c r="F63" s="143">
        <f t="shared" si="5"/>
        <v>57440</v>
      </c>
    </row>
    <row r="64" spans="1:15">
      <c r="A64" s="172" t="s">
        <v>450</v>
      </c>
      <c r="B64" s="120"/>
      <c r="C64" s="159" t="s">
        <v>445</v>
      </c>
      <c r="D64" s="119">
        <v>188520</v>
      </c>
      <c r="E64" s="120">
        <v>188520</v>
      </c>
      <c r="F64" s="120">
        <f t="shared" si="5"/>
        <v>0</v>
      </c>
    </row>
    <row r="65" spans="1:6">
      <c r="A65" s="173" t="s">
        <v>434</v>
      </c>
      <c r="B65" s="106"/>
      <c r="C65" s="164" t="s">
        <v>445</v>
      </c>
      <c r="D65" s="106">
        <f>SUM(D64:D64)</f>
        <v>188520</v>
      </c>
      <c r="E65" s="106">
        <f>SUM(E64:E64)</f>
        <v>188520</v>
      </c>
      <c r="F65" s="127">
        <f t="shared" si="5"/>
        <v>0</v>
      </c>
    </row>
    <row r="66" spans="1:6">
      <c r="A66" s="129" t="s">
        <v>35</v>
      </c>
      <c r="B66" s="143"/>
      <c r="C66" s="143"/>
      <c r="D66" s="130">
        <f>D63+D65</f>
        <v>438320</v>
      </c>
      <c r="E66" s="130">
        <f>E63+E65</f>
        <v>380880</v>
      </c>
      <c r="F66" s="131">
        <f t="shared" si="5"/>
        <v>57440</v>
      </c>
    </row>
    <row r="67" spans="1:6">
      <c r="A67" s="108" t="s">
        <v>459</v>
      </c>
      <c r="B67" s="154" t="s">
        <v>460</v>
      </c>
      <c r="C67" s="154" t="s">
        <v>461</v>
      </c>
      <c r="D67" s="157">
        <f>598560-15000</f>
        <v>583560</v>
      </c>
      <c r="E67" s="154">
        <v>582900</v>
      </c>
      <c r="F67" s="154">
        <f t="shared" si="5"/>
        <v>660</v>
      </c>
    </row>
    <row r="68" spans="1:6">
      <c r="A68" s="166" t="s">
        <v>462</v>
      </c>
      <c r="B68" s="149" t="s">
        <v>463</v>
      </c>
      <c r="C68" s="164" t="s">
        <v>445</v>
      </c>
      <c r="D68" s="148">
        <v>42000</v>
      </c>
      <c r="E68" s="149">
        <v>42000</v>
      </c>
      <c r="F68" s="167">
        <f t="shared" si="5"/>
        <v>0</v>
      </c>
    </row>
    <row r="69" spans="1:6">
      <c r="A69" s="161" t="s">
        <v>431</v>
      </c>
      <c r="B69" s="152"/>
      <c r="C69" s="162"/>
      <c r="D69" s="152">
        <f>SUM(D67:D68)</f>
        <v>625560</v>
      </c>
      <c r="E69" s="152">
        <f>SUM(E67:E68)</f>
        <v>624900</v>
      </c>
      <c r="F69" s="143">
        <f>D69-E69</f>
        <v>660</v>
      </c>
    </row>
    <row r="70" spans="1:6">
      <c r="A70" s="108" t="s">
        <v>464</v>
      </c>
      <c r="B70" s="154"/>
      <c r="C70" s="164" t="s">
        <v>445</v>
      </c>
      <c r="D70" s="157">
        <v>339120</v>
      </c>
      <c r="E70" s="154">
        <v>339120</v>
      </c>
      <c r="F70" s="154">
        <f t="shared" si="5"/>
        <v>0</v>
      </c>
    </row>
    <row r="71" spans="1:6">
      <c r="A71" s="166" t="s">
        <v>465</v>
      </c>
      <c r="B71" s="149"/>
      <c r="C71" s="164" t="s">
        <v>445</v>
      </c>
      <c r="D71" s="148">
        <v>8820</v>
      </c>
      <c r="E71" s="149">
        <v>8820</v>
      </c>
      <c r="F71" s="149">
        <f t="shared" si="5"/>
        <v>0</v>
      </c>
    </row>
    <row r="72" spans="1:6">
      <c r="A72" s="161" t="s">
        <v>434</v>
      </c>
      <c r="B72" s="152"/>
      <c r="C72" s="162"/>
      <c r="D72" s="152">
        <f>SUM(D70:D71)</f>
        <v>347940</v>
      </c>
      <c r="E72" s="152">
        <f>SUM(E70:E71)</f>
        <v>347940</v>
      </c>
      <c r="F72" s="143">
        <f>D72-E72</f>
        <v>0</v>
      </c>
    </row>
    <row r="73" spans="1:6">
      <c r="A73" s="129" t="s">
        <v>35</v>
      </c>
      <c r="B73" s="143"/>
      <c r="C73" s="143"/>
      <c r="D73" s="130">
        <f>D69+D72</f>
        <v>973500</v>
      </c>
      <c r="E73" s="130">
        <f>E69+E72</f>
        <v>972840</v>
      </c>
      <c r="F73" s="131">
        <f>D73-E73</f>
        <v>660</v>
      </c>
    </row>
    <row r="74" spans="1:6">
      <c r="A74" s="108" t="s">
        <v>456</v>
      </c>
      <c r="B74" s="154" t="s">
        <v>466</v>
      </c>
      <c r="C74" s="154" t="s">
        <v>467</v>
      </c>
      <c r="D74" s="157">
        <f>435600-100000-199800-20000-100000</f>
        <v>15800</v>
      </c>
      <c r="E74" s="175"/>
      <c r="F74" s="165">
        <f t="shared" si="5"/>
        <v>15800</v>
      </c>
    </row>
    <row r="75" spans="1:6">
      <c r="A75" s="166" t="s">
        <v>458</v>
      </c>
      <c r="B75" s="149" t="s">
        <v>105</v>
      </c>
      <c r="C75" s="149"/>
      <c r="D75" s="148">
        <f>42000-10000</f>
        <v>32000</v>
      </c>
      <c r="E75" s="674">
        <v>0</v>
      </c>
      <c r="F75" s="167">
        <f t="shared" si="5"/>
        <v>32000</v>
      </c>
    </row>
    <row r="76" spans="1:6">
      <c r="A76" s="161" t="s">
        <v>431</v>
      </c>
      <c r="B76" s="152"/>
      <c r="C76" s="162"/>
      <c r="D76" s="152">
        <f>SUM(D74:D75)</f>
        <v>47800</v>
      </c>
      <c r="E76" s="152">
        <f>SUM(E74:E75)</f>
        <v>0</v>
      </c>
      <c r="F76" s="143">
        <f>D76-E76</f>
        <v>47800</v>
      </c>
    </row>
    <row r="77" spans="1:6">
      <c r="A77" s="108" t="s">
        <v>450</v>
      </c>
      <c r="B77" s="154"/>
      <c r="C77" s="164" t="s">
        <v>445</v>
      </c>
      <c r="D77" s="157">
        <f>145800-2760</f>
        <v>143040</v>
      </c>
      <c r="E77" s="157">
        <v>143040</v>
      </c>
      <c r="F77" s="165">
        <f t="shared" si="5"/>
        <v>0</v>
      </c>
    </row>
    <row r="78" spans="1:6">
      <c r="A78" s="166" t="s">
        <v>468</v>
      </c>
      <c r="B78" s="149"/>
      <c r="C78" s="164" t="s">
        <v>445</v>
      </c>
      <c r="D78" s="148">
        <f>13620+2760</f>
        <v>16380</v>
      </c>
      <c r="E78" s="148">
        <v>16380</v>
      </c>
      <c r="F78" s="167">
        <f t="shared" si="5"/>
        <v>0</v>
      </c>
    </row>
    <row r="79" spans="1:6">
      <c r="A79" s="161" t="s">
        <v>434</v>
      </c>
      <c r="B79" s="152"/>
      <c r="C79" s="162"/>
      <c r="D79" s="152">
        <f>SUM(D77:D78)</f>
        <v>159420</v>
      </c>
      <c r="E79" s="152">
        <f>SUM(E77:E78)</f>
        <v>159420</v>
      </c>
      <c r="F79" s="143">
        <f>D79-E79</f>
        <v>0</v>
      </c>
    </row>
    <row r="80" spans="1:6">
      <c r="A80" s="129" t="s">
        <v>35</v>
      </c>
      <c r="B80" s="143"/>
      <c r="C80" s="143"/>
      <c r="D80" s="130">
        <f>D76+D79</f>
        <v>207220</v>
      </c>
      <c r="E80" s="130">
        <f>E76+E79</f>
        <v>159420</v>
      </c>
      <c r="F80" s="131">
        <f>D80-E80</f>
        <v>47800</v>
      </c>
    </row>
    <row r="81" spans="1:6">
      <c r="A81" s="129" t="s">
        <v>469</v>
      </c>
      <c r="B81" s="129"/>
      <c r="C81" s="129"/>
      <c r="D81" s="130">
        <f>D31+D39+D46+D53+D60+D66+D73+D80</f>
        <v>11201520</v>
      </c>
      <c r="E81" s="130">
        <f>E31+E39+E46+E53+E60+E66+E73+E80</f>
        <v>9986929</v>
      </c>
      <c r="F81" s="131">
        <f>D81-E81</f>
        <v>1214591</v>
      </c>
    </row>
    <row r="82" spans="1:6">
      <c r="A82" s="132" t="s">
        <v>470</v>
      </c>
      <c r="B82" s="134"/>
      <c r="C82" s="134"/>
      <c r="D82" s="119"/>
      <c r="E82" s="120"/>
      <c r="F82" s="120"/>
    </row>
    <row r="83" spans="1:6">
      <c r="A83" s="124" t="s">
        <v>471</v>
      </c>
      <c r="B83" s="135" t="s">
        <v>409</v>
      </c>
      <c r="C83" s="136" t="s">
        <v>472</v>
      </c>
      <c r="D83" s="105">
        <f>135880-20000-40000-40000-20000</f>
        <v>15880</v>
      </c>
      <c r="E83" s="124">
        <v>0</v>
      </c>
      <c r="F83" s="124">
        <f>D83-E83</f>
        <v>15880</v>
      </c>
    </row>
    <row r="84" spans="1:6">
      <c r="A84" s="124" t="s">
        <v>473</v>
      </c>
      <c r="B84" s="135"/>
      <c r="C84" s="164" t="s">
        <v>445</v>
      </c>
      <c r="D84" s="105">
        <v>20000</v>
      </c>
      <c r="E84" s="124">
        <v>0</v>
      </c>
      <c r="F84" s="124">
        <f>D84-E84</f>
        <v>20000</v>
      </c>
    </row>
    <row r="85" spans="1:6">
      <c r="A85" s="124" t="s">
        <v>474</v>
      </c>
      <c r="B85" s="135"/>
      <c r="C85" s="164" t="s">
        <v>445</v>
      </c>
      <c r="D85" s="105">
        <v>78000</v>
      </c>
      <c r="E85" s="124">
        <v>71000</v>
      </c>
      <c r="F85" s="124">
        <f>D85-E85</f>
        <v>7000</v>
      </c>
    </row>
    <row r="86" spans="1:6">
      <c r="A86" s="149" t="s">
        <v>475</v>
      </c>
      <c r="B86" s="147"/>
      <c r="C86" s="164" t="s">
        <v>445</v>
      </c>
      <c r="D86" s="148">
        <v>19800</v>
      </c>
      <c r="E86" s="149">
        <v>4500</v>
      </c>
      <c r="F86" s="149">
        <f>D86-E86</f>
        <v>15300</v>
      </c>
    </row>
    <row r="87" spans="1:6">
      <c r="A87" s="129" t="s">
        <v>35</v>
      </c>
      <c r="B87" s="142"/>
      <c r="C87" s="142"/>
      <c r="D87" s="130">
        <f>SUM(D83:D86)</f>
        <v>133680</v>
      </c>
      <c r="E87" s="131">
        <f>SUM(E83:E86)</f>
        <v>75500</v>
      </c>
      <c r="F87" s="143">
        <f>D87-E87</f>
        <v>58180</v>
      </c>
    </row>
    <row r="88" spans="1:6">
      <c r="A88" s="132" t="s">
        <v>470</v>
      </c>
      <c r="B88" s="134"/>
      <c r="C88" s="134"/>
      <c r="D88" s="119"/>
      <c r="E88" s="120"/>
      <c r="F88" s="120"/>
    </row>
    <row r="89" spans="1:6">
      <c r="A89" s="124" t="s">
        <v>471</v>
      </c>
      <c r="B89" s="135" t="s">
        <v>409</v>
      </c>
      <c r="C89" s="136" t="s">
        <v>476</v>
      </c>
      <c r="D89" s="105">
        <f>30000+20000</f>
        <v>50000</v>
      </c>
      <c r="E89" s="124">
        <v>42000</v>
      </c>
      <c r="F89" s="124">
        <f>D89-E89</f>
        <v>8000</v>
      </c>
    </row>
    <row r="90" spans="1:6">
      <c r="A90" s="129" t="s">
        <v>35</v>
      </c>
      <c r="B90" s="142"/>
      <c r="C90" s="142"/>
      <c r="D90" s="130">
        <f>SUM(D89:D89)</f>
        <v>50000</v>
      </c>
      <c r="E90" s="131">
        <f>SUM(E89:E89)</f>
        <v>42000</v>
      </c>
      <c r="F90" s="143">
        <f>D90-E90</f>
        <v>8000</v>
      </c>
    </row>
    <row r="91" spans="1:6">
      <c r="A91" s="165" t="s">
        <v>470</v>
      </c>
      <c r="B91" s="176"/>
      <c r="C91" s="176"/>
      <c r="D91" s="177"/>
      <c r="E91" s="178"/>
      <c r="F91" s="178"/>
    </row>
    <row r="92" spans="1:6">
      <c r="A92" s="124" t="s">
        <v>477</v>
      </c>
      <c r="B92" s="122" t="s">
        <v>436</v>
      </c>
      <c r="C92" s="136" t="s">
        <v>437</v>
      </c>
      <c r="D92" s="105">
        <f>106000+30000</f>
        <v>136000</v>
      </c>
      <c r="E92" s="124">
        <v>106400</v>
      </c>
      <c r="F92" s="124">
        <f>D92-E92</f>
        <v>29600</v>
      </c>
    </row>
    <row r="93" spans="1:6">
      <c r="A93" s="124" t="s">
        <v>478</v>
      </c>
      <c r="B93" s="135"/>
      <c r="C93" s="164" t="s">
        <v>445</v>
      </c>
      <c r="D93" s="105">
        <v>17000</v>
      </c>
      <c r="E93" s="124">
        <v>0</v>
      </c>
      <c r="F93" s="124">
        <f>D93-E93</f>
        <v>17000</v>
      </c>
    </row>
    <row r="94" spans="1:6">
      <c r="A94" s="124" t="s">
        <v>474</v>
      </c>
      <c r="B94" s="135"/>
      <c r="C94" s="164" t="s">
        <v>445</v>
      </c>
      <c r="D94" s="105">
        <v>162000</v>
      </c>
      <c r="E94" s="124">
        <v>121800</v>
      </c>
      <c r="F94" s="124">
        <f>D94-E94</f>
        <v>40200</v>
      </c>
    </row>
    <row r="95" spans="1:6">
      <c r="A95" s="149" t="s">
        <v>475</v>
      </c>
      <c r="B95" s="147"/>
      <c r="C95" s="164" t="s">
        <v>445</v>
      </c>
      <c r="D95" s="148">
        <v>9600</v>
      </c>
      <c r="E95" s="149">
        <v>0</v>
      </c>
      <c r="F95" s="149">
        <f>D95-E95</f>
        <v>9600</v>
      </c>
    </row>
    <row r="96" spans="1:6">
      <c r="A96" s="129" t="s">
        <v>35</v>
      </c>
      <c r="B96" s="142"/>
      <c r="C96" s="142"/>
      <c r="D96" s="130">
        <f>SUM(D92:D95)</f>
        <v>324600</v>
      </c>
      <c r="E96" s="131">
        <f>SUM(E92:E95)</f>
        <v>228200</v>
      </c>
      <c r="F96" s="131">
        <f>SUM(F92:F95)</f>
        <v>96400</v>
      </c>
    </row>
    <row r="97" spans="1:6">
      <c r="A97" s="165" t="s">
        <v>470</v>
      </c>
      <c r="B97" s="178"/>
      <c r="C97" s="178"/>
      <c r="D97" s="177"/>
      <c r="E97" s="178"/>
      <c r="F97" s="178"/>
    </row>
    <row r="98" spans="1:6">
      <c r="A98" s="124" t="s">
        <v>477</v>
      </c>
      <c r="B98" s="122" t="s">
        <v>443</v>
      </c>
      <c r="C98" s="124" t="s">
        <v>444</v>
      </c>
      <c r="D98" s="105">
        <f>46600-1000</f>
        <v>45600</v>
      </c>
      <c r="E98" s="124">
        <v>0</v>
      </c>
      <c r="F98" s="124">
        <f>D98-E98</f>
        <v>45600</v>
      </c>
    </row>
    <row r="99" spans="1:6">
      <c r="A99" s="179" t="s">
        <v>479</v>
      </c>
      <c r="B99" s="135"/>
      <c r="C99" s="122" t="s">
        <v>445</v>
      </c>
      <c r="D99" s="105">
        <v>15000</v>
      </c>
      <c r="E99" s="180">
        <v>0</v>
      </c>
      <c r="F99" s="124">
        <f>D99-E99</f>
        <v>15000</v>
      </c>
    </row>
    <row r="100" spans="1:6">
      <c r="A100" s="179" t="s">
        <v>480</v>
      </c>
      <c r="B100" s="135"/>
      <c r="C100" s="122" t="s">
        <v>445</v>
      </c>
      <c r="D100" s="105">
        <v>78000</v>
      </c>
      <c r="E100" s="124">
        <v>36500</v>
      </c>
      <c r="F100" s="124">
        <f>D100-E100</f>
        <v>41500</v>
      </c>
    </row>
    <row r="101" spans="1:6">
      <c r="A101" s="179" t="s">
        <v>481</v>
      </c>
      <c r="B101" s="135"/>
      <c r="C101" s="122" t="s">
        <v>445</v>
      </c>
      <c r="D101" s="105">
        <v>9600</v>
      </c>
      <c r="E101" s="124">
        <v>0</v>
      </c>
      <c r="F101" s="124">
        <f>D101-E101</f>
        <v>9600</v>
      </c>
    </row>
    <row r="102" spans="1:6">
      <c r="A102" s="129" t="s">
        <v>35</v>
      </c>
      <c r="B102" s="142"/>
      <c r="C102" s="142"/>
      <c r="D102" s="130">
        <f>SUM(D98:D101)</f>
        <v>148200</v>
      </c>
      <c r="E102" s="131">
        <f>SUM(E98:E101)</f>
        <v>36500</v>
      </c>
      <c r="F102" s="131">
        <f>D102-E102</f>
        <v>111700</v>
      </c>
    </row>
    <row r="103" spans="1:6">
      <c r="A103" s="181" t="s">
        <v>470</v>
      </c>
      <c r="B103" s="182"/>
      <c r="C103" s="182"/>
      <c r="D103" s="175"/>
      <c r="E103" s="165"/>
      <c r="F103" s="165"/>
    </row>
    <row r="104" spans="1:6">
      <c r="A104" s="124" t="s">
        <v>477</v>
      </c>
      <c r="B104" s="135" t="s">
        <v>446</v>
      </c>
      <c r="C104" s="183" t="s">
        <v>447</v>
      </c>
      <c r="D104" s="105">
        <v>19500</v>
      </c>
      <c r="E104" s="180">
        <v>0</v>
      </c>
      <c r="F104" s="180">
        <f t="shared" ref="F104:F111" si="6">D104-E104</f>
        <v>19500</v>
      </c>
    </row>
    <row r="105" spans="1:6">
      <c r="A105" s="179" t="s">
        <v>478</v>
      </c>
      <c r="B105" s="135" t="s">
        <v>482</v>
      </c>
      <c r="C105" s="122" t="s">
        <v>445</v>
      </c>
      <c r="D105" s="105">
        <v>10000</v>
      </c>
      <c r="E105" s="180">
        <v>0</v>
      </c>
      <c r="F105" s="180">
        <f t="shared" si="6"/>
        <v>10000</v>
      </c>
    </row>
    <row r="106" spans="1:6">
      <c r="A106" s="179" t="s">
        <v>483</v>
      </c>
      <c r="B106" s="135" t="s">
        <v>484</v>
      </c>
      <c r="C106" s="122" t="s">
        <v>445</v>
      </c>
      <c r="D106" s="105">
        <v>4000</v>
      </c>
      <c r="E106" s="180">
        <v>2400</v>
      </c>
      <c r="F106" s="180">
        <f t="shared" si="6"/>
        <v>1600</v>
      </c>
    </row>
    <row r="107" spans="1:6">
      <c r="A107" s="129" t="s">
        <v>35</v>
      </c>
      <c r="B107" s="142"/>
      <c r="C107" s="142"/>
      <c r="D107" s="130">
        <f>SUM(D104:D106)</f>
        <v>33500</v>
      </c>
      <c r="E107" s="130">
        <f>SUM(E104:E106)</f>
        <v>2400</v>
      </c>
      <c r="F107" s="131">
        <f t="shared" si="6"/>
        <v>31100</v>
      </c>
    </row>
    <row r="108" spans="1:6">
      <c r="A108" s="154" t="s">
        <v>477</v>
      </c>
      <c r="B108" s="182" t="s">
        <v>446</v>
      </c>
      <c r="C108" s="143" t="s">
        <v>452</v>
      </c>
      <c r="D108" s="157">
        <v>77810</v>
      </c>
      <c r="E108" s="165">
        <v>0</v>
      </c>
      <c r="F108" s="165">
        <f t="shared" si="6"/>
        <v>77810</v>
      </c>
    </row>
    <row r="109" spans="1:6">
      <c r="A109" s="179" t="s">
        <v>478</v>
      </c>
      <c r="B109" s="135" t="s">
        <v>482</v>
      </c>
      <c r="C109" s="122" t="s">
        <v>445</v>
      </c>
      <c r="D109" s="105">
        <v>5000</v>
      </c>
      <c r="E109" s="180">
        <v>0</v>
      </c>
      <c r="F109" s="180">
        <f t="shared" si="6"/>
        <v>5000</v>
      </c>
    </row>
    <row r="110" spans="1:6">
      <c r="A110" s="179" t="s">
        <v>483</v>
      </c>
      <c r="B110" s="135" t="s">
        <v>484</v>
      </c>
      <c r="C110" s="122" t="s">
        <v>445</v>
      </c>
      <c r="D110" s="105">
        <v>55000</v>
      </c>
      <c r="E110" s="124">
        <v>29800</v>
      </c>
      <c r="F110" s="180">
        <f t="shared" si="6"/>
        <v>25200</v>
      </c>
    </row>
    <row r="111" spans="1:6">
      <c r="A111" s="129" t="s">
        <v>35</v>
      </c>
      <c r="B111" s="142"/>
      <c r="C111" s="142"/>
      <c r="D111" s="130">
        <f>SUM(D108:D110)</f>
        <v>137810</v>
      </c>
      <c r="E111" s="130">
        <f>SUM(E108:E110)</f>
        <v>29800</v>
      </c>
      <c r="F111" s="131">
        <f t="shared" si="6"/>
        <v>108010</v>
      </c>
    </row>
    <row r="112" spans="1:6">
      <c r="A112" s="165" t="s">
        <v>470</v>
      </c>
      <c r="B112" s="182"/>
      <c r="C112" s="182"/>
      <c r="D112" s="175"/>
      <c r="E112" s="165"/>
      <c r="F112" s="165"/>
    </row>
    <row r="113" spans="1:6">
      <c r="A113" s="124" t="s">
        <v>477</v>
      </c>
      <c r="B113" s="135" t="s">
        <v>457</v>
      </c>
      <c r="C113" s="183" t="s">
        <v>485</v>
      </c>
      <c r="D113" s="105">
        <f>33250</f>
        <v>33250</v>
      </c>
      <c r="E113" s="124">
        <v>0</v>
      </c>
      <c r="F113" s="124">
        <f>D113-E113</f>
        <v>33250</v>
      </c>
    </row>
    <row r="114" spans="1:6">
      <c r="A114" s="179" t="s">
        <v>478</v>
      </c>
      <c r="B114" s="135"/>
      <c r="C114" s="135" t="s">
        <v>439</v>
      </c>
      <c r="D114" s="105">
        <v>8000</v>
      </c>
      <c r="E114" s="124"/>
      <c r="F114" s="124">
        <f>D114-E114</f>
        <v>8000</v>
      </c>
    </row>
    <row r="115" spans="1:6">
      <c r="A115" s="179" t="s">
        <v>631</v>
      </c>
      <c r="B115" s="147"/>
      <c r="C115" s="135" t="s">
        <v>439</v>
      </c>
      <c r="D115" s="105">
        <v>0</v>
      </c>
      <c r="E115" s="124"/>
      <c r="F115" s="124"/>
    </row>
    <row r="116" spans="1:6">
      <c r="A116" s="179" t="s">
        <v>632</v>
      </c>
      <c r="B116" s="135"/>
      <c r="C116" s="135" t="s">
        <v>439</v>
      </c>
      <c r="D116" s="105">
        <v>0</v>
      </c>
      <c r="E116" s="124"/>
      <c r="F116" s="124"/>
    </row>
    <row r="117" spans="1:6">
      <c r="A117" s="129" t="s">
        <v>35</v>
      </c>
      <c r="B117" s="142"/>
      <c r="C117" s="142"/>
      <c r="D117" s="130">
        <f>SUM(D113:D116)</f>
        <v>41250</v>
      </c>
      <c r="E117" s="131">
        <f>SUM(E113:E116)</f>
        <v>0</v>
      </c>
      <c r="F117" s="131">
        <f>D117-E117</f>
        <v>41250</v>
      </c>
    </row>
    <row r="118" spans="1:6">
      <c r="A118" s="181" t="s">
        <v>470</v>
      </c>
      <c r="B118" s="182"/>
      <c r="C118" s="182"/>
      <c r="D118" s="175"/>
      <c r="E118" s="165"/>
      <c r="F118" s="165"/>
    </row>
    <row r="119" spans="1:6">
      <c r="A119" s="124" t="s">
        <v>477</v>
      </c>
      <c r="B119" s="135" t="s">
        <v>460</v>
      </c>
      <c r="C119" s="136" t="s">
        <v>461</v>
      </c>
      <c r="D119" s="105">
        <f>36940-25000-3500-1000-7440</f>
        <v>0</v>
      </c>
      <c r="E119" s="180">
        <v>0</v>
      </c>
      <c r="F119" s="180">
        <f>D119-E119</f>
        <v>0</v>
      </c>
    </row>
    <row r="120" spans="1:6">
      <c r="A120" s="179" t="s">
        <v>479</v>
      </c>
      <c r="B120" s="135" t="s">
        <v>463</v>
      </c>
      <c r="C120" s="135" t="s">
        <v>439</v>
      </c>
      <c r="D120" s="105">
        <f>15000-15000</f>
        <v>0</v>
      </c>
      <c r="E120" s="180">
        <v>0</v>
      </c>
      <c r="F120" s="180">
        <f>D120-E120</f>
        <v>0</v>
      </c>
    </row>
    <row r="121" spans="1:6">
      <c r="A121" s="184" t="s">
        <v>480</v>
      </c>
      <c r="B121" s="135"/>
      <c r="C121" s="135" t="s">
        <v>439</v>
      </c>
      <c r="D121" s="105">
        <v>42000</v>
      </c>
      <c r="E121" s="124">
        <v>42000</v>
      </c>
      <c r="F121" s="180">
        <f>D121-E121</f>
        <v>0</v>
      </c>
    </row>
    <row r="122" spans="1:6">
      <c r="A122" s="184" t="s">
        <v>481</v>
      </c>
      <c r="B122" s="147"/>
      <c r="C122" s="135" t="s">
        <v>439</v>
      </c>
      <c r="D122" s="148">
        <f>13600-13600</f>
        <v>0</v>
      </c>
      <c r="E122" s="149">
        <v>0</v>
      </c>
      <c r="F122" s="167">
        <f>D122-E122</f>
        <v>0</v>
      </c>
    </row>
    <row r="123" spans="1:6">
      <c r="A123" s="129" t="s">
        <v>35</v>
      </c>
      <c r="B123" s="142"/>
      <c r="C123" s="142"/>
      <c r="D123" s="130">
        <f>SUM(D119:D122)</f>
        <v>42000</v>
      </c>
      <c r="E123" s="130">
        <f>SUM(E119:E122)</f>
        <v>42000</v>
      </c>
      <c r="F123" s="131">
        <f>D123-E123</f>
        <v>0</v>
      </c>
    </row>
    <row r="124" spans="1:6">
      <c r="A124" s="181" t="s">
        <v>470</v>
      </c>
      <c r="B124" s="182"/>
      <c r="C124" s="182"/>
      <c r="D124" s="175"/>
      <c r="E124" s="175"/>
      <c r="F124" s="165"/>
    </row>
    <row r="125" spans="1:6">
      <c r="A125" s="124" t="s">
        <v>477</v>
      </c>
      <c r="B125" s="135" t="s">
        <v>466</v>
      </c>
      <c r="C125" s="136" t="s">
        <v>467</v>
      </c>
      <c r="D125" s="105">
        <v>22800</v>
      </c>
      <c r="E125" s="186">
        <v>0</v>
      </c>
      <c r="F125" s="180">
        <f t="shared" ref="F125:F130" si="7">D125-E125</f>
        <v>22800</v>
      </c>
    </row>
    <row r="126" spans="1:6">
      <c r="A126" s="123" t="s">
        <v>479</v>
      </c>
      <c r="B126" s="135" t="s">
        <v>105</v>
      </c>
      <c r="C126" s="135" t="s">
        <v>439</v>
      </c>
      <c r="D126" s="105">
        <v>5000</v>
      </c>
      <c r="E126" s="186">
        <v>0</v>
      </c>
      <c r="F126" s="180">
        <f>D126-E126</f>
        <v>5000</v>
      </c>
    </row>
    <row r="127" spans="1:6">
      <c r="A127" s="187" t="s">
        <v>480</v>
      </c>
      <c r="B127" s="135"/>
      <c r="C127" s="135" t="s">
        <v>439</v>
      </c>
      <c r="D127" s="106">
        <f>36000-36000</f>
        <v>0</v>
      </c>
      <c r="E127" s="186">
        <v>0</v>
      </c>
      <c r="F127" s="180">
        <f>D127-E127</f>
        <v>0</v>
      </c>
    </row>
    <row r="128" spans="1:6">
      <c r="A128" s="123" t="s">
        <v>486</v>
      </c>
      <c r="B128" s="135"/>
      <c r="C128" s="135" t="s">
        <v>439</v>
      </c>
      <c r="D128" s="105">
        <v>0</v>
      </c>
      <c r="E128" s="186">
        <v>0</v>
      </c>
      <c r="F128" s="180">
        <f t="shared" si="7"/>
        <v>0</v>
      </c>
    </row>
    <row r="129" spans="1:15">
      <c r="A129" s="129" t="s">
        <v>35</v>
      </c>
      <c r="B129" s="142"/>
      <c r="C129" s="142"/>
      <c r="D129" s="130">
        <f>SUM(D125:D128)</f>
        <v>27800</v>
      </c>
      <c r="E129" s="130">
        <f>SUM(E125:E128)</f>
        <v>0</v>
      </c>
      <c r="F129" s="131">
        <f t="shared" si="7"/>
        <v>27800</v>
      </c>
    </row>
    <row r="130" spans="1:15">
      <c r="A130" s="129" t="s">
        <v>487</v>
      </c>
      <c r="B130" s="129"/>
      <c r="C130" s="129"/>
      <c r="D130" s="130">
        <f>D87+D90+D96+D102+D107+D111+D117+D123+D129</f>
        <v>938840</v>
      </c>
      <c r="E130" s="130">
        <f>E87+E90+E96+E102+E107+E111+E117+E123+E129</f>
        <v>456400</v>
      </c>
      <c r="F130" s="131">
        <f t="shared" si="7"/>
        <v>482440</v>
      </c>
    </row>
    <row r="131" spans="1:15">
      <c r="A131" s="132" t="s">
        <v>488</v>
      </c>
      <c r="B131" s="134"/>
      <c r="C131" s="134"/>
      <c r="D131" s="119"/>
      <c r="E131" s="134"/>
      <c r="F131" s="134"/>
    </row>
    <row r="132" spans="1:15">
      <c r="A132" s="124" t="s">
        <v>489</v>
      </c>
      <c r="B132" s="135" t="s">
        <v>409</v>
      </c>
      <c r="C132" s="136" t="s">
        <v>421</v>
      </c>
      <c r="D132" s="105">
        <v>400000</v>
      </c>
      <c r="E132" s="124">
        <f>267488+18000</f>
        <v>285488</v>
      </c>
      <c r="F132" s="124">
        <f>D132-E132</f>
        <v>114512</v>
      </c>
    </row>
    <row r="133" spans="1:15" s="111" customFormat="1">
      <c r="A133" s="123" t="s">
        <v>490</v>
      </c>
      <c r="B133" s="121"/>
      <c r="C133" s="135" t="s">
        <v>445</v>
      </c>
      <c r="D133" s="105">
        <f>50000+40000+40000+20000</f>
        <v>150000</v>
      </c>
      <c r="E133" s="124">
        <v>131945</v>
      </c>
      <c r="F133" s="124">
        <f t="shared" ref="F133:F145" si="8">D133-E133</f>
        <v>18055</v>
      </c>
      <c r="G133" s="112"/>
      <c r="H133" s="112"/>
      <c r="I133" s="112"/>
      <c r="J133" s="112"/>
      <c r="K133" s="112"/>
      <c r="L133" s="112"/>
      <c r="M133" s="112"/>
      <c r="N133" s="112"/>
      <c r="O133" s="112"/>
    </row>
    <row r="134" spans="1:15">
      <c r="A134" s="123" t="s">
        <v>491</v>
      </c>
      <c r="B134" s="121"/>
      <c r="C134" s="135" t="s">
        <v>445</v>
      </c>
      <c r="D134" s="105"/>
      <c r="E134" s="124"/>
      <c r="F134" s="124">
        <f t="shared" si="8"/>
        <v>0</v>
      </c>
    </row>
    <row r="135" spans="1:15">
      <c r="A135" s="123" t="s">
        <v>866</v>
      </c>
      <c r="B135" s="121"/>
      <c r="C135" s="135" t="s">
        <v>445</v>
      </c>
      <c r="D135" s="105">
        <f>100000+50000+86400</f>
        <v>236400</v>
      </c>
      <c r="E135" s="124">
        <v>171582</v>
      </c>
      <c r="F135" s="124">
        <f t="shared" si="8"/>
        <v>64818</v>
      </c>
    </row>
    <row r="136" spans="1:15">
      <c r="A136" s="123" t="s">
        <v>493</v>
      </c>
      <c r="B136" s="121"/>
      <c r="C136" s="135" t="s">
        <v>445</v>
      </c>
      <c r="D136" s="105">
        <v>50000</v>
      </c>
      <c r="E136" s="124">
        <v>6735</v>
      </c>
      <c r="F136" s="124">
        <f t="shared" si="8"/>
        <v>43265</v>
      </c>
    </row>
    <row r="137" spans="1:15">
      <c r="A137" s="188" t="s">
        <v>494</v>
      </c>
      <c r="B137" s="121"/>
      <c r="C137" s="135" t="s">
        <v>445</v>
      </c>
      <c r="D137" s="105">
        <f>300000-300000</f>
        <v>0</v>
      </c>
      <c r="E137" s="124">
        <v>0</v>
      </c>
      <c r="F137" s="124">
        <f t="shared" si="8"/>
        <v>0</v>
      </c>
    </row>
    <row r="138" spans="1:15">
      <c r="A138" s="188" t="s">
        <v>867</v>
      </c>
      <c r="B138" s="121"/>
      <c r="C138" s="135" t="s">
        <v>445</v>
      </c>
      <c r="D138" s="105">
        <v>10000</v>
      </c>
      <c r="E138" s="124">
        <v>6610</v>
      </c>
      <c r="F138" s="124">
        <f t="shared" si="8"/>
        <v>3390</v>
      </c>
    </row>
    <row r="139" spans="1:15">
      <c r="A139" s="188" t="s">
        <v>868</v>
      </c>
      <c r="B139" s="121"/>
      <c r="C139" s="135" t="s">
        <v>445</v>
      </c>
      <c r="D139" s="105">
        <v>10000</v>
      </c>
      <c r="E139" s="124">
        <v>9400</v>
      </c>
      <c r="F139" s="124">
        <f t="shared" si="8"/>
        <v>600</v>
      </c>
    </row>
    <row r="140" spans="1:15">
      <c r="A140" s="188" t="s">
        <v>869</v>
      </c>
      <c r="B140" s="121"/>
      <c r="C140" s="135" t="s">
        <v>445</v>
      </c>
      <c r="D140" s="105">
        <v>10000</v>
      </c>
      <c r="E140" s="124">
        <v>0</v>
      </c>
      <c r="F140" s="124">
        <f t="shared" si="8"/>
        <v>10000</v>
      </c>
    </row>
    <row r="141" spans="1:15">
      <c r="A141" s="188" t="s">
        <v>870</v>
      </c>
      <c r="B141" s="121"/>
      <c r="C141" s="135" t="s">
        <v>445</v>
      </c>
      <c r="D141" s="105">
        <v>20000</v>
      </c>
      <c r="E141" s="124">
        <v>0</v>
      </c>
      <c r="F141" s="124">
        <f t="shared" si="8"/>
        <v>20000</v>
      </c>
    </row>
    <row r="142" spans="1:15">
      <c r="A142" s="188" t="s">
        <v>871</v>
      </c>
      <c r="B142" s="121"/>
      <c r="C142" s="135" t="s">
        <v>445</v>
      </c>
      <c r="D142" s="105">
        <v>20000</v>
      </c>
      <c r="E142" s="124">
        <v>4150</v>
      </c>
      <c r="F142" s="124">
        <f t="shared" si="8"/>
        <v>15850</v>
      </c>
    </row>
    <row r="143" spans="1:15">
      <c r="A143" s="188" t="s">
        <v>872</v>
      </c>
      <c r="B143" s="121"/>
      <c r="C143" s="135" t="s">
        <v>445</v>
      </c>
      <c r="D143" s="105">
        <v>25000</v>
      </c>
      <c r="E143" s="124">
        <f>20403+4597</f>
        <v>25000</v>
      </c>
      <c r="F143" s="124">
        <f t="shared" si="8"/>
        <v>0</v>
      </c>
    </row>
    <row r="144" spans="1:15">
      <c r="A144" s="188" t="s">
        <v>873</v>
      </c>
      <c r="B144" s="121"/>
      <c r="C144" s="135" t="s">
        <v>445</v>
      </c>
      <c r="D144" s="105">
        <f>300000+100000</f>
        <v>400000</v>
      </c>
      <c r="E144" s="124">
        <v>383000</v>
      </c>
      <c r="F144" s="124">
        <f t="shared" si="8"/>
        <v>17000</v>
      </c>
    </row>
    <row r="145" spans="1:15">
      <c r="A145" s="189" t="s">
        <v>495</v>
      </c>
      <c r="B145" s="126"/>
      <c r="C145" s="138" t="s">
        <v>445</v>
      </c>
      <c r="D145" s="106">
        <v>140000</v>
      </c>
      <c r="E145" s="127">
        <v>55930</v>
      </c>
      <c r="F145" s="124">
        <f t="shared" si="8"/>
        <v>84070</v>
      </c>
    </row>
    <row r="146" spans="1:15" s="111" customFormat="1">
      <c r="A146" s="129" t="s">
        <v>35</v>
      </c>
      <c r="B146" s="171"/>
      <c r="C146" s="142"/>
      <c r="D146" s="152">
        <f>SUM(D132:D145)</f>
        <v>1471400</v>
      </c>
      <c r="E146" s="152">
        <f>SUM(E132:E145)</f>
        <v>1079840</v>
      </c>
      <c r="F146" s="143">
        <f>SUM(F132:F145)</f>
        <v>391560</v>
      </c>
      <c r="G146" s="112"/>
      <c r="H146" s="112"/>
      <c r="I146" s="112"/>
      <c r="J146" s="112"/>
      <c r="K146" s="112"/>
      <c r="L146" s="112"/>
      <c r="M146" s="112"/>
      <c r="N146" s="112"/>
      <c r="O146" s="112"/>
    </row>
    <row r="147" spans="1:15" s="111" customFormat="1">
      <c r="A147" s="108" t="s">
        <v>496</v>
      </c>
      <c r="B147" s="182" t="s">
        <v>409</v>
      </c>
      <c r="C147" s="156" t="s">
        <v>497</v>
      </c>
      <c r="D147" s="157"/>
      <c r="E147" s="154"/>
      <c r="F147" s="154">
        <f t="shared" ref="F147" si="9">D147-E147</f>
        <v>0</v>
      </c>
      <c r="G147" s="112"/>
      <c r="H147" s="112"/>
      <c r="I147" s="112"/>
      <c r="J147" s="112"/>
      <c r="K147" s="112"/>
      <c r="L147" s="112"/>
      <c r="M147" s="112"/>
      <c r="N147" s="112"/>
      <c r="O147" s="112"/>
    </row>
    <row r="148" spans="1:15" s="111" customFormat="1">
      <c r="A148" s="123" t="s">
        <v>874</v>
      </c>
      <c r="B148" s="121"/>
      <c r="C148" s="190" t="s">
        <v>412</v>
      </c>
      <c r="D148" s="105">
        <v>50000</v>
      </c>
      <c r="E148" s="124">
        <v>37137.800000000003</v>
      </c>
      <c r="F148" s="124">
        <f>D148-E148</f>
        <v>12862.199999999997</v>
      </c>
      <c r="G148" s="112"/>
      <c r="H148" s="112"/>
      <c r="I148" s="112"/>
      <c r="J148" s="112"/>
      <c r="K148" s="112"/>
      <c r="L148" s="112"/>
      <c r="M148" s="112"/>
      <c r="N148" s="112"/>
      <c r="O148" s="112"/>
    </row>
    <row r="149" spans="1:15" s="111" customFormat="1">
      <c r="A149" s="123" t="s">
        <v>498</v>
      </c>
      <c r="B149" s="121"/>
      <c r="C149" s="190" t="s">
        <v>412</v>
      </c>
      <c r="D149" s="105">
        <v>20000</v>
      </c>
      <c r="E149" s="124">
        <v>0</v>
      </c>
      <c r="F149" s="124">
        <f t="shared" ref="F149:F154" si="10">D149-E149</f>
        <v>20000</v>
      </c>
      <c r="G149" s="112"/>
      <c r="H149" s="112"/>
      <c r="I149" s="112"/>
      <c r="J149" s="112"/>
      <c r="K149" s="112"/>
      <c r="L149" s="112"/>
      <c r="M149" s="112"/>
      <c r="N149" s="112"/>
      <c r="O149" s="112"/>
    </row>
    <row r="150" spans="1:15" s="111" customFormat="1">
      <c r="A150" s="123" t="s">
        <v>875</v>
      </c>
      <c r="B150" s="121"/>
      <c r="C150" s="190" t="s">
        <v>412</v>
      </c>
      <c r="D150" s="105">
        <v>10000</v>
      </c>
      <c r="E150" s="124">
        <v>0</v>
      </c>
      <c r="F150" s="124">
        <f t="shared" si="10"/>
        <v>10000</v>
      </c>
      <c r="G150" s="112"/>
      <c r="H150" s="112"/>
      <c r="I150" s="112"/>
      <c r="J150" s="112"/>
      <c r="K150" s="112"/>
      <c r="L150" s="112"/>
      <c r="M150" s="112"/>
      <c r="N150" s="112"/>
      <c r="O150" s="112"/>
    </row>
    <row r="151" spans="1:15" s="111" customFormat="1">
      <c r="A151" s="123" t="s">
        <v>876</v>
      </c>
      <c r="B151" s="121"/>
      <c r="C151" s="190" t="s">
        <v>412</v>
      </c>
      <c r="D151" s="105">
        <v>10000</v>
      </c>
      <c r="E151" s="124">
        <v>3150</v>
      </c>
      <c r="F151" s="124">
        <f t="shared" si="10"/>
        <v>6850</v>
      </c>
      <c r="G151" s="112"/>
      <c r="H151" s="112"/>
      <c r="I151" s="112"/>
      <c r="J151" s="112"/>
      <c r="K151" s="112"/>
      <c r="L151" s="112"/>
      <c r="M151" s="112"/>
      <c r="N151" s="112"/>
      <c r="O151" s="112"/>
    </row>
    <row r="152" spans="1:15" s="111" customFormat="1">
      <c r="A152" s="123" t="s">
        <v>877</v>
      </c>
      <c r="B152" s="121"/>
      <c r="C152" s="190" t="s">
        <v>412</v>
      </c>
      <c r="D152" s="105">
        <v>10000</v>
      </c>
      <c r="E152" s="124">
        <v>0</v>
      </c>
      <c r="F152" s="124">
        <f t="shared" si="10"/>
        <v>10000</v>
      </c>
      <c r="G152" s="112"/>
      <c r="H152" s="112"/>
      <c r="I152" s="112"/>
      <c r="J152" s="112"/>
      <c r="K152" s="112"/>
      <c r="L152" s="112"/>
      <c r="M152" s="112"/>
      <c r="N152" s="112"/>
      <c r="O152" s="112"/>
    </row>
    <row r="153" spans="1:15">
      <c r="A153" s="166" t="s">
        <v>878</v>
      </c>
      <c r="B153" s="121"/>
      <c r="C153" s="190" t="s">
        <v>412</v>
      </c>
      <c r="D153" s="105">
        <v>50000</v>
      </c>
      <c r="E153" s="124">
        <v>0</v>
      </c>
      <c r="F153" s="124">
        <f t="shared" si="10"/>
        <v>50000</v>
      </c>
    </row>
    <row r="154" spans="1:15">
      <c r="A154" s="166"/>
      <c r="B154" s="146"/>
      <c r="C154" s="190"/>
      <c r="D154" s="148"/>
      <c r="E154" s="149"/>
      <c r="F154" s="124">
        <f t="shared" si="10"/>
        <v>0</v>
      </c>
    </row>
    <row r="155" spans="1:15">
      <c r="A155" s="129" t="s">
        <v>35</v>
      </c>
      <c r="B155" s="171"/>
      <c r="C155" s="191"/>
      <c r="D155" s="152">
        <f>SUM(D147:D154)</f>
        <v>150000</v>
      </c>
      <c r="E155" s="152">
        <f>SUM(E148:E154)</f>
        <v>40287.800000000003</v>
      </c>
      <c r="F155" s="152">
        <f>SUM(F148:F154)</f>
        <v>109712.2</v>
      </c>
    </row>
    <row r="156" spans="1:15">
      <c r="A156" s="165" t="s">
        <v>488</v>
      </c>
      <c r="B156" s="178"/>
      <c r="C156" s="176"/>
      <c r="D156" s="157"/>
      <c r="E156" s="154"/>
      <c r="F156" s="154"/>
    </row>
    <row r="157" spans="1:15">
      <c r="A157" s="124" t="s">
        <v>489</v>
      </c>
      <c r="B157" s="122" t="s">
        <v>436</v>
      </c>
      <c r="C157" s="121" t="s">
        <v>499</v>
      </c>
      <c r="D157" s="105">
        <f>150000-40000-40000-30000</f>
        <v>40000</v>
      </c>
      <c r="E157" s="124">
        <v>0</v>
      </c>
      <c r="F157" s="124">
        <f t="shared" ref="F157:F171" si="11">D157-E157</f>
        <v>40000</v>
      </c>
    </row>
    <row r="158" spans="1:15">
      <c r="A158" s="123" t="s">
        <v>500</v>
      </c>
      <c r="B158" s="192"/>
      <c r="C158" s="135" t="s">
        <v>445</v>
      </c>
      <c r="D158" s="356"/>
      <c r="E158" s="357"/>
      <c r="F158" s="124">
        <f t="shared" si="11"/>
        <v>0</v>
      </c>
    </row>
    <row r="159" spans="1:15">
      <c r="A159" s="123" t="s">
        <v>879</v>
      </c>
      <c r="B159" s="192"/>
      <c r="C159" s="135" t="s">
        <v>445</v>
      </c>
      <c r="D159" s="356">
        <f>40000+40000+40000+30000</f>
        <v>150000</v>
      </c>
      <c r="E159" s="357">
        <v>115076</v>
      </c>
      <c r="F159" s="124">
        <f t="shared" si="11"/>
        <v>34924</v>
      </c>
    </row>
    <row r="160" spans="1:15">
      <c r="A160" s="123" t="s">
        <v>501</v>
      </c>
      <c r="B160" s="192"/>
      <c r="C160" s="135" t="s">
        <v>445</v>
      </c>
      <c r="D160" s="356">
        <f>100000-30000</f>
        <v>70000</v>
      </c>
      <c r="E160" s="357">
        <v>0</v>
      </c>
      <c r="F160" s="124">
        <f t="shared" si="11"/>
        <v>70000</v>
      </c>
    </row>
    <row r="161" spans="1:6">
      <c r="A161" s="123" t="s">
        <v>880</v>
      </c>
      <c r="B161" s="192"/>
      <c r="C161" s="135" t="s">
        <v>445</v>
      </c>
      <c r="D161" s="105">
        <v>0</v>
      </c>
      <c r="E161" s="180"/>
      <c r="F161" s="124">
        <f t="shared" si="11"/>
        <v>0</v>
      </c>
    </row>
    <row r="162" spans="1:6">
      <c r="A162" s="166" t="s">
        <v>502</v>
      </c>
      <c r="B162" s="194"/>
      <c r="C162" s="147" t="s">
        <v>445</v>
      </c>
      <c r="D162" s="148">
        <v>20000</v>
      </c>
      <c r="E162" s="149">
        <v>7500</v>
      </c>
      <c r="F162" s="124">
        <f t="shared" si="11"/>
        <v>12500</v>
      </c>
    </row>
    <row r="163" spans="1:6">
      <c r="A163" s="129" t="s">
        <v>35</v>
      </c>
      <c r="B163" s="142"/>
      <c r="C163" s="142"/>
      <c r="D163" s="130">
        <f>SUM(D157:D162)</f>
        <v>280000</v>
      </c>
      <c r="E163" s="131">
        <f>SUM(E157:E162)</f>
        <v>122576</v>
      </c>
      <c r="F163" s="195">
        <f>SUM(F157:F162)</f>
        <v>157424</v>
      </c>
    </row>
    <row r="164" spans="1:6">
      <c r="A164" s="165" t="s">
        <v>488</v>
      </c>
      <c r="B164" s="326"/>
      <c r="C164" s="326"/>
      <c r="D164" s="327"/>
      <c r="E164" s="328"/>
      <c r="F164" s="329"/>
    </row>
    <row r="165" spans="1:6">
      <c r="A165" s="120" t="s">
        <v>503</v>
      </c>
      <c r="B165" s="134" t="s">
        <v>446</v>
      </c>
      <c r="C165" s="196" t="s">
        <v>447</v>
      </c>
      <c r="D165" s="119">
        <f>150000-43200</f>
        <v>106800</v>
      </c>
      <c r="E165" s="120">
        <v>5360</v>
      </c>
      <c r="F165" s="120">
        <f t="shared" si="11"/>
        <v>101440</v>
      </c>
    </row>
    <row r="166" spans="1:6">
      <c r="A166" s="124" t="s">
        <v>504</v>
      </c>
      <c r="B166" s="121" t="s">
        <v>482</v>
      </c>
      <c r="C166" s="135" t="s">
        <v>445</v>
      </c>
      <c r="D166" s="105">
        <v>10000</v>
      </c>
      <c r="E166" s="124">
        <v>0</v>
      </c>
      <c r="F166" s="124">
        <f t="shared" si="11"/>
        <v>10000</v>
      </c>
    </row>
    <row r="167" spans="1:6">
      <c r="A167" s="124" t="s">
        <v>505</v>
      </c>
      <c r="B167" s="121" t="s">
        <v>484</v>
      </c>
      <c r="C167" s="135" t="s">
        <v>445</v>
      </c>
      <c r="D167" s="105">
        <v>0</v>
      </c>
      <c r="E167" s="124"/>
      <c r="F167" s="124">
        <f t="shared" si="11"/>
        <v>0</v>
      </c>
    </row>
    <row r="168" spans="1:6">
      <c r="A168" s="123" t="s">
        <v>492</v>
      </c>
      <c r="B168" s="121"/>
      <c r="C168" s="135" t="s">
        <v>445</v>
      </c>
      <c r="D168" s="105">
        <f>20000</f>
        <v>20000</v>
      </c>
      <c r="E168" s="124">
        <v>14466</v>
      </c>
      <c r="F168" s="124">
        <f>D168-E168</f>
        <v>5534</v>
      </c>
    </row>
    <row r="169" spans="1:6">
      <c r="A169" s="197" t="s">
        <v>881</v>
      </c>
      <c r="B169" s="121"/>
      <c r="C169" s="135" t="s">
        <v>445</v>
      </c>
      <c r="D169" s="105">
        <v>10000</v>
      </c>
      <c r="E169" s="124">
        <v>0</v>
      </c>
      <c r="F169" s="124">
        <f>D169-E169</f>
        <v>10000</v>
      </c>
    </row>
    <row r="170" spans="1:6">
      <c r="A170" s="197" t="s">
        <v>882</v>
      </c>
      <c r="B170" s="121"/>
      <c r="C170" s="135" t="s">
        <v>445</v>
      </c>
      <c r="D170" s="105">
        <v>30000</v>
      </c>
      <c r="E170" s="124">
        <v>22986</v>
      </c>
      <c r="F170" s="124">
        <f>D170-E170</f>
        <v>7014</v>
      </c>
    </row>
    <row r="171" spans="1:6">
      <c r="A171" s="189" t="s">
        <v>495</v>
      </c>
      <c r="B171" s="126"/>
      <c r="C171" s="135" t="s">
        <v>445</v>
      </c>
      <c r="D171" s="106">
        <v>10000</v>
      </c>
      <c r="E171" s="127">
        <v>0</v>
      </c>
      <c r="F171" s="127">
        <f t="shared" si="11"/>
        <v>10000</v>
      </c>
    </row>
    <row r="172" spans="1:6">
      <c r="A172" s="129" t="s">
        <v>35</v>
      </c>
      <c r="B172" s="171"/>
      <c r="C172" s="142"/>
      <c r="D172" s="152">
        <f>SUM(D165:D171)</f>
        <v>186800</v>
      </c>
      <c r="E172" s="152">
        <f>SUM(E165:E171)</f>
        <v>42812</v>
      </c>
      <c r="F172" s="143">
        <f>SUM(F165:F171)</f>
        <v>143988</v>
      </c>
    </row>
    <row r="173" spans="1:6">
      <c r="A173" s="123" t="s">
        <v>506</v>
      </c>
      <c r="B173" s="121" t="s">
        <v>446</v>
      </c>
      <c r="C173" s="183" t="s">
        <v>452</v>
      </c>
      <c r="D173" s="105"/>
      <c r="E173" s="124"/>
      <c r="F173" s="124"/>
    </row>
    <row r="174" spans="1:6">
      <c r="A174" s="123" t="s">
        <v>507</v>
      </c>
      <c r="B174" s="121" t="s">
        <v>482</v>
      </c>
      <c r="C174" s="135" t="s">
        <v>445</v>
      </c>
      <c r="D174" s="105">
        <f>455700+43200</f>
        <v>498900</v>
      </c>
      <c r="E174" s="124">
        <v>498900</v>
      </c>
      <c r="F174" s="124">
        <f t="shared" ref="F174:F179" si="12">D174-E174</f>
        <v>0</v>
      </c>
    </row>
    <row r="175" spans="1:6">
      <c r="A175" s="123" t="s">
        <v>883</v>
      </c>
      <c r="B175" s="121" t="s">
        <v>484</v>
      </c>
      <c r="C175" s="135" t="s">
        <v>445</v>
      </c>
      <c r="D175" s="105">
        <v>171700</v>
      </c>
      <c r="E175" s="124">
        <v>158100</v>
      </c>
      <c r="F175" s="124">
        <f>D175-E175</f>
        <v>13600</v>
      </c>
    </row>
    <row r="176" spans="1:6">
      <c r="A176" s="123" t="s">
        <v>884</v>
      </c>
      <c r="B176" s="121"/>
      <c r="C176" s="135" t="s">
        <v>445</v>
      </c>
      <c r="D176" s="105">
        <v>56500</v>
      </c>
      <c r="E176" s="124">
        <v>56500</v>
      </c>
      <c r="F176" s="124">
        <f t="shared" si="12"/>
        <v>0</v>
      </c>
    </row>
    <row r="177" spans="1:6">
      <c r="A177" s="123" t="s">
        <v>508</v>
      </c>
      <c r="B177" s="121"/>
      <c r="C177" s="135" t="s">
        <v>445</v>
      </c>
      <c r="D177" s="105">
        <f>30000+50000</f>
        <v>80000</v>
      </c>
      <c r="E177" s="124">
        <v>66404</v>
      </c>
      <c r="F177" s="124">
        <f>D177-E177</f>
        <v>13596</v>
      </c>
    </row>
    <row r="178" spans="1:6">
      <c r="A178" s="123" t="s">
        <v>885</v>
      </c>
      <c r="B178" s="121"/>
      <c r="C178" s="135" t="s">
        <v>445</v>
      </c>
      <c r="D178" s="105">
        <v>60000</v>
      </c>
      <c r="E178" s="124">
        <v>46750</v>
      </c>
      <c r="F178" s="124">
        <f>D178-E178</f>
        <v>13250</v>
      </c>
    </row>
    <row r="179" spans="1:6">
      <c r="A179" s="166" t="s">
        <v>509</v>
      </c>
      <c r="B179" s="146"/>
      <c r="C179" s="135" t="s">
        <v>445</v>
      </c>
      <c r="D179" s="148">
        <f>100000-14055-63600</f>
        <v>22345</v>
      </c>
      <c r="E179" s="149">
        <v>0</v>
      </c>
      <c r="F179" s="149">
        <f t="shared" si="12"/>
        <v>22345</v>
      </c>
    </row>
    <row r="180" spans="1:6">
      <c r="A180" s="129" t="s">
        <v>35</v>
      </c>
      <c r="B180" s="171"/>
      <c r="C180" s="142"/>
      <c r="D180" s="152">
        <f>SUM(D173:D179)</f>
        <v>889445</v>
      </c>
      <c r="E180" s="152">
        <f>SUM(E174:E179)</f>
        <v>826654</v>
      </c>
      <c r="F180" s="143">
        <f>SUM(F174:F179)</f>
        <v>62791</v>
      </c>
    </row>
    <row r="181" spans="1:6">
      <c r="A181" s="123" t="s">
        <v>506</v>
      </c>
      <c r="B181" s="121" t="s">
        <v>446</v>
      </c>
      <c r="C181" s="183" t="s">
        <v>510</v>
      </c>
      <c r="D181" s="105"/>
      <c r="E181" s="124"/>
      <c r="F181" s="124"/>
    </row>
    <row r="182" spans="1:6">
      <c r="A182" s="166" t="s">
        <v>511</v>
      </c>
      <c r="B182" s="146" t="s">
        <v>512</v>
      </c>
      <c r="C182" s="198" t="s">
        <v>513</v>
      </c>
      <c r="D182" s="148">
        <f>70000-70000</f>
        <v>0</v>
      </c>
      <c r="E182" s="149">
        <v>0</v>
      </c>
      <c r="F182" s="149">
        <f>D182-E182</f>
        <v>0</v>
      </c>
    </row>
    <row r="183" spans="1:6">
      <c r="A183" s="129" t="s">
        <v>35</v>
      </c>
      <c r="B183" s="171"/>
      <c r="C183" s="142"/>
      <c r="D183" s="152">
        <f>SUM(D182:D182)</f>
        <v>0</v>
      </c>
      <c r="E183" s="152">
        <f>SUM(E182:E182)</f>
        <v>0</v>
      </c>
      <c r="F183" s="143">
        <f>D183-E183</f>
        <v>0</v>
      </c>
    </row>
    <row r="184" spans="1:6">
      <c r="A184" s="199" t="s">
        <v>514</v>
      </c>
      <c r="B184" s="134" t="s">
        <v>446</v>
      </c>
      <c r="C184" s="196" t="s">
        <v>510</v>
      </c>
      <c r="D184" s="119">
        <v>30000</v>
      </c>
      <c r="E184" s="119">
        <v>0</v>
      </c>
      <c r="F184" s="120">
        <f>D184-E184</f>
        <v>30000</v>
      </c>
    </row>
    <row r="185" spans="1:6">
      <c r="A185" s="123" t="s">
        <v>515</v>
      </c>
      <c r="B185" s="121" t="s">
        <v>512</v>
      </c>
      <c r="C185" s="183" t="s">
        <v>92</v>
      </c>
      <c r="D185" s="105"/>
      <c r="E185" s="105"/>
      <c r="F185" s="124"/>
    </row>
    <row r="186" spans="1:6">
      <c r="A186" s="188" t="s">
        <v>516</v>
      </c>
      <c r="B186" s="121"/>
      <c r="C186" s="135" t="s">
        <v>445</v>
      </c>
      <c r="D186" s="105">
        <v>30000</v>
      </c>
      <c r="E186" s="105">
        <v>18255</v>
      </c>
      <c r="F186" s="124">
        <f>D186-E186</f>
        <v>11745</v>
      </c>
    </row>
    <row r="187" spans="1:6">
      <c r="A187" s="188" t="s">
        <v>517</v>
      </c>
      <c r="B187" s="121"/>
      <c r="C187" s="135" t="s">
        <v>445</v>
      </c>
      <c r="D187" s="105">
        <f>30000-5945</f>
        <v>24055</v>
      </c>
      <c r="E187" s="105">
        <v>24055</v>
      </c>
      <c r="F187" s="124">
        <f>D187-E187</f>
        <v>0</v>
      </c>
    </row>
    <row r="188" spans="1:6">
      <c r="A188" s="200" t="s">
        <v>518</v>
      </c>
      <c r="B188" s="126"/>
      <c r="C188" s="135" t="s">
        <v>445</v>
      </c>
      <c r="D188" s="106">
        <v>0</v>
      </c>
      <c r="E188" s="106">
        <v>0</v>
      </c>
      <c r="F188" s="127">
        <f>D188-E188</f>
        <v>0</v>
      </c>
    </row>
    <row r="189" spans="1:6">
      <c r="A189" s="129" t="s">
        <v>35</v>
      </c>
      <c r="B189" s="171"/>
      <c r="C189" s="142"/>
      <c r="D189" s="152">
        <f>SUM(D184:D188)</f>
        <v>84055</v>
      </c>
      <c r="E189" s="152">
        <f>SUM(E185:E188)</f>
        <v>42310</v>
      </c>
      <c r="F189" s="143">
        <f>SUM(F184:F188)</f>
        <v>41745</v>
      </c>
    </row>
    <row r="190" spans="1:6">
      <c r="A190" s="165" t="s">
        <v>488</v>
      </c>
      <c r="B190" s="155" t="s">
        <v>443</v>
      </c>
      <c r="C190" s="108" t="s">
        <v>444</v>
      </c>
      <c r="D190" s="177"/>
      <c r="E190" s="178"/>
      <c r="F190" s="178"/>
    </row>
    <row r="191" spans="1:6">
      <c r="A191" s="124" t="s">
        <v>489</v>
      </c>
      <c r="B191" s="135"/>
      <c r="C191" s="137" t="s">
        <v>423</v>
      </c>
      <c r="D191" s="105">
        <v>60000</v>
      </c>
      <c r="E191" s="124">
        <v>0</v>
      </c>
      <c r="F191" s="124">
        <f>D191-E191</f>
        <v>60000</v>
      </c>
    </row>
    <row r="192" spans="1:6">
      <c r="A192" s="123" t="s">
        <v>519</v>
      </c>
      <c r="B192" s="135"/>
      <c r="C192" s="137" t="s">
        <v>423</v>
      </c>
      <c r="D192" s="356"/>
      <c r="E192" s="357">
        <v>0</v>
      </c>
      <c r="F192" s="124">
        <f t="shared" ref="F192:F193" si="13">D192-E192</f>
        <v>0</v>
      </c>
    </row>
    <row r="193" spans="1:6">
      <c r="A193" s="123" t="s">
        <v>520</v>
      </c>
      <c r="B193" s="135"/>
      <c r="C193" s="137" t="s">
        <v>423</v>
      </c>
      <c r="D193" s="358">
        <f>40000</f>
        <v>40000</v>
      </c>
      <c r="E193" s="357">
        <v>19974</v>
      </c>
      <c r="F193" s="124">
        <f t="shared" si="13"/>
        <v>20026</v>
      </c>
    </row>
    <row r="194" spans="1:6">
      <c r="A194" s="166" t="s">
        <v>1015</v>
      </c>
      <c r="B194" s="192"/>
      <c r="C194" s="137" t="s">
        <v>423</v>
      </c>
      <c r="D194" s="105">
        <v>150000</v>
      </c>
      <c r="E194" s="124">
        <v>13000</v>
      </c>
      <c r="F194" s="124">
        <f>D194-E194</f>
        <v>137000</v>
      </c>
    </row>
    <row r="195" spans="1:6">
      <c r="A195" s="129" t="s">
        <v>35</v>
      </c>
      <c r="B195" s="201"/>
      <c r="C195" s="151"/>
      <c r="D195" s="130">
        <f>SUM(D191:D194)</f>
        <v>250000</v>
      </c>
      <c r="E195" s="130">
        <f>SUM(E191:E194)</f>
        <v>32974</v>
      </c>
      <c r="F195" s="143">
        <f>SUM(F191:F194)</f>
        <v>217026</v>
      </c>
    </row>
    <row r="196" spans="1:6">
      <c r="A196" s="202" t="s">
        <v>488</v>
      </c>
      <c r="B196" s="155" t="s">
        <v>443</v>
      </c>
      <c r="C196" s="185" t="s">
        <v>521</v>
      </c>
      <c r="D196" s="175"/>
      <c r="E196" s="175"/>
      <c r="F196" s="154"/>
    </row>
    <row r="197" spans="1:6">
      <c r="A197" s="179" t="s">
        <v>503</v>
      </c>
      <c r="B197" s="122"/>
      <c r="C197" s="137" t="s">
        <v>423</v>
      </c>
      <c r="D197" s="105">
        <f>86000-37350</f>
        <v>48650</v>
      </c>
      <c r="E197" s="105">
        <v>0</v>
      </c>
      <c r="F197" s="124">
        <f>D197-E197</f>
        <v>48650</v>
      </c>
    </row>
    <row r="198" spans="1:6">
      <c r="A198" s="184" t="s">
        <v>509</v>
      </c>
      <c r="B198" s="194"/>
      <c r="C198" s="137" t="s">
        <v>423</v>
      </c>
      <c r="D198" s="148">
        <v>30000</v>
      </c>
      <c r="E198" s="674">
        <v>0</v>
      </c>
      <c r="F198" s="149">
        <f>D198-E198</f>
        <v>30000</v>
      </c>
    </row>
    <row r="199" spans="1:6">
      <c r="A199" s="129" t="s">
        <v>35</v>
      </c>
      <c r="B199" s="201"/>
      <c r="C199" s="151"/>
      <c r="D199" s="130">
        <f>SUM(D197:D198)</f>
        <v>78650</v>
      </c>
      <c r="E199" s="130">
        <f>SUM(E197:E198)</f>
        <v>0</v>
      </c>
      <c r="F199" s="143">
        <f>SUM(F197:F198)</f>
        <v>78650</v>
      </c>
    </row>
    <row r="200" spans="1:6">
      <c r="A200" s="181" t="s">
        <v>488</v>
      </c>
      <c r="B200" s="122" t="s">
        <v>443</v>
      </c>
      <c r="C200" s="183" t="s">
        <v>522</v>
      </c>
      <c r="D200" s="157"/>
      <c r="E200" s="175"/>
      <c r="F200" s="154"/>
    </row>
    <row r="201" spans="1:6">
      <c r="A201" s="179" t="s">
        <v>503</v>
      </c>
      <c r="B201" s="122"/>
      <c r="C201" s="137" t="s">
        <v>423</v>
      </c>
      <c r="D201" s="105">
        <v>50000</v>
      </c>
      <c r="E201" s="105">
        <v>27000</v>
      </c>
      <c r="F201" s="124">
        <f>D201-E201</f>
        <v>23000</v>
      </c>
    </row>
    <row r="202" spans="1:6">
      <c r="A202" s="184" t="s">
        <v>509</v>
      </c>
      <c r="B202" s="194"/>
      <c r="C202" s="137" t="s">
        <v>423</v>
      </c>
      <c r="D202" s="148">
        <v>10000</v>
      </c>
      <c r="E202" s="674">
        <v>0</v>
      </c>
      <c r="F202" s="149">
        <f>D202-E202</f>
        <v>10000</v>
      </c>
    </row>
    <row r="203" spans="1:6">
      <c r="A203" s="129" t="s">
        <v>35</v>
      </c>
      <c r="B203" s="201"/>
      <c r="C203" s="151"/>
      <c r="D203" s="130">
        <f>SUM(D200:D202)</f>
        <v>60000</v>
      </c>
      <c r="E203" s="130">
        <f>SUM(E201:E202)</f>
        <v>27000</v>
      </c>
      <c r="F203" s="143">
        <f>SUM(F201:F202)</f>
        <v>33000</v>
      </c>
    </row>
    <row r="204" spans="1:6">
      <c r="A204" s="181" t="s">
        <v>488</v>
      </c>
      <c r="B204" s="135" t="s">
        <v>443</v>
      </c>
      <c r="C204" s="183" t="s">
        <v>523</v>
      </c>
      <c r="D204" s="157"/>
      <c r="E204" s="154"/>
      <c r="F204" s="154"/>
    </row>
    <row r="205" spans="1:6">
      <c r="A205" s="123" t="s">
        <v>503</v>
      </c>
      <c r="B205" s="135"/>
      <c r="C205" s="137" t="s">
        <v>423</v>
      </c>
      <c r="D205" s="105">
        <v>350000</v>
      </c>
      <c r="E205" s="124">
        <f>191300+13000</f>
        <v>204300</v>
      </c>
      <c r="F205" s="124">
        <f>D205-E205</f>
        <v>145700</v>
      </c>
    </row>
    <row r="206" spans="1:6">
      <c r="A206" s="123" t="s">
        <v>519</v>
      </c>
      <c r="B206" s="192"/>
      <c r="C206" s="137" t="s">
        <v>423</v>
      </c>
      <c r="D206" s="105"/>
      <c r="E206" s="124"/>
      <c r="F206" s="124"/>
    </row>
    <row r="207" spans="1:6">
      <c r="A207" s="123" t="s">
        <v>1061</v>
      </c>
      <c r="B207" s="192"/>
      <c r="C207" s="137" t="s">
        <v>423</v>
      </c>
      <c r="D207" s="105">
        <v>40000</v>
      </c>
      <c r="E207" s="124">
        <v>0</v>
      </c>
      <c r="F207" s="124">
        <f>D207-E207</f>
        <v>40000</v>
      </c>
    </row>
    <row r="208" spans="1:6">
      <c r="A208" s="166" t="s">
        <v>524</v>
      </c>
      <c r="B208" s="194"/>
      <c r="C208" s="137" t="s">
        <v>423</v>
      </c>
      <c r="D208" s="105">
        <v>10000</v>
      </c>
      <c r="E208" s="124">
        <v>0</v>
      </c>
      <c r="F208" s="124">
        <f>D208-E208</f>
        <v>10000</v>
      </c>
    </row>
    <row r="209" spans="1:6">
      <c r="A209" s="129" t="s">
        <v>35</v>
      </c>
      <c r="B209" s="171"/>
      <c r="C209" s="171"/>
      <c r="D209" s="130">
        <f>SUM(D204:D208)</f>
        <v>400000</v>
      </c>
      <c r="E209" s="130">
        <f>SUM(E204:E208)</f>
        <v>204300</v>
      </c>
      <c r="F209" s="143">
        <f>SUM(F205:F208)</f>
        <v>195700</v>
      </c>
    </row>
    <row r="210" spans="1:6">
      <c r="A210" s="202" t="s">
        <v>488</v>
      </c>
      <c r="B210" s="203"/>
      <c r="C210" s="176"/>
      <c r="D210" s="175"/>
      <c r="E210" s="165"/>
      <c r="F210" s="154"/>
    </row>
    <row r="211" spans="1:6">
      <c r="A211" s="123" t="s">
        <v>525</v>
      </c>
      <c r="B211" s="135" t="s">
        <v>457</v>
      </c>
      <c r="C211" s="183" t="s">
        <v>526</v>
      </c>
      <c r="D211" s="105">
        <v>13927</v>
      </c>
      <c r="E211" s="124">
        <v>390</v>
      </c>
      <c r="F211" s="124">
        <f>D211-E211</f>
        <v>13537</v>
      </c>
    </row>
    <row r="212" spans="1:6">
      <c r="A212" s="123" t="s">
        <v>527</v>
      </c>
      <c r="B212" s="121"/>
      <c r="C212" s="135" t="s">
        <v>445</v>
      </c>
      <c r="D212" s="105">
        <v>10000</v>
      </c>
      <c r="E212" s="124">
        <v>0</v>
      </c>
      <c r="F212" s="124">
        <f>D212-E212</f>
        <v>10000</v>
      </c>
    </row>
    <row r="213" spans="1:6">
      <c r="A213" s="123" t="s">
        <v>528</v>
      </c>
      <c r="B213" s="121"/>
      <c r="C213" s="135"/>
      <c r="D213" s="105"/>
      <c r="E213" s="124"/>
      <c r="F213" s="124"/>
    </row>
    <row r="214" spans="1:6">
      <c r="A214" s="204" t="s">
        <v>529</v>
      </c>
      <c r="B214" s="121"/>
      <c r="C214" s="135" t="s">
        <v>445</v>
      </c>
      <c r="D214" s="105">
        <v>0</v>
      </c>
      <c r="E214" s="124"/>
      <c r="F214" s="124">
        <f t="shared" ref="F214:F218" si="14">D214-E214</f>
        <v>0</v>
      </c>
    </row>
    <row r="215" spans="1:6">
      <c r="A215" s="204" t="s">
        <v>530</v>
      </c>
      <c r="B215" s="121"/>
      <c r="C215" s="135" t="s">
        <v>445</v>
      </c>
      <c r="D215" s="105">
        <f>50000-8360-41640</f>
        <v>0</v>
      </c>
      <c r="E215" s="124"/>
      <c r="F215" s="124">
        <f t="shared" si="14"/>
        <v>0</v>
      </c>
    </row>
    <row r="216" spans="1:6">
      <c r="A216" s="204" t="s">
        <v>1062</v>
      </c>
      <c r="B216" s="121"/>
      <c r="C216" s="135" t="s">
        <v>445</v>
      </c>
      <c r="D216" s="105">
        <f>80000+47000</f>
        <v>127000</v>
      </c>
      <c r="E216" s="124">
        <v>85950</v>
      </c>
      <c r="F216" s="124">
        <f t="shared" si="14"/>
        <v>41050</v>
      </c>
    </row>
    <row r="217" spans="1:6">
      <c r="A217" s="123" t="s">
        <v>531</v>
      </c>
      <c r="B217" s="121"/>
      <c r="C217" s="135" t="s">
        <v>445</v>
      </c>
      <c r="D217" s="105">
        <v>10000</v>
      </c>
      <c r="E217" s="124">
        <v>1548</v>
      </c>
      <c r="F217" s="124">
        <f t="shared" si="14"/>
        <v>8452</v>
      </c>
    </row>
    <row r="218" spans="1:6">
      <c r="A218" s="189" t="s">
        <v>532</v>
      </c>
      <c r="B218" s="126"/>
      <c r="C218" s="138" t="s">
        <v>445</v>
      </c>
      <c r="D218" s="106">
        <v>10000</v>
      </c>
      <c r="E218" s="127">
        <v>2200</v>
      </c>
      <c r="F218" s="127">
        <f t="shared" si="14"/>
        <v>7800</v>
      </c>
    </row>
    <row r="219" spans="1:6">
      <c r="A219" s="129" t="s">
        <v>533</v>
      </c>
      <c r="B219" s="171"/>
      <c r="C219" s="142"/>
      <c r="D219" s="130">
        <f>SUM(D211:D218)</f>
        <v>170927</v>
      </c>
      <c r="E219" s="130">
        <f>SUM(E211:E218)</f>
        <v>90088</v>
      </c>
      <c r="F219" s="131">
        <f>SUM(F211:F218)</f>
        <v>80839</v>
      </c>
    </row>
    <row r="220" spans="1:6">
      <c r="A220" s="181" t="s">
        <v>488</v>
      </c>
      <c r="B220" s="176" t="s">
        <v>460</v>
      </c>
      <c r="C220" s="176" t="s">
        <v>461</v>
      </c>
      <c r="D220" s="175"/>
      <c r="E220" s="175"/>
      <c r="F220" s="154"/>
    </row>
    <row r="221" spans="1:6">
      <c r="A221" s="179" t="s">
        <v>503</v>
      </c>
      <c r="B221" s="121" t="s">
        <v>463</v>
      </c>
      <c r="C221" s="135" t="s">
        <v>445</v>
      </c>
      <c r="D221" s="105">
        <f>50000-5000-45000</f>
        <v>0</v>
      </c>
      <c r="E221" s="105">
        <v>0</v>
      </c>
      <c r="F221" s="124">
        <f>D221-E221</f>
        <v>0</v>
      </c>
    </row>
    <row r="222" spans="1:6">
      <c r="A222" s="179" t="s">
        <v>504</v>
      </c>
      <c r="B222" s="121"/>
      <c r="C222" s="135" t="s">
        <v>445</v>
      </c>
      <c r="D222" s="105">
        <f>10000-10000</f>
        <v>0</v>
      </c>
      <c r="E222" s="105">
        <v>0</v>
      </c>
      <c r="F222" s="124">
        <f>D222-E222</f>
        <v>0</v>
      </c>
    </row>
    <row r="223" spans="1:6">
      <c r="A223" s="179" t="s">
        <v>534</v>
      </c>
      <c r="B223" s="121"/>
      <c r="C223" s="135" t="s">
        <v>445</v>
      </c>
      <c r="D223" s="105"/>
      <c r="E223" s="105"/>
      <c r="F223" s="124"/>
    </row>
    <row r="224" spans="1:6">
      <c r="A224" s="123" t="s">
        <v>492</v>
      </c>
      <c r="B224" s="146"/>
      <c r="C224" s="135" t="s">
        <v>445</v>
      </c>
      <c r="D224" s="105">
        <f>20000-15000</f>
        <v>5000</v>
      </c>
      <c r="E224" s="105">
        <v>0</v>
      </c>
      <c r="F224" s="124">
        <f>D224-E224</f>
        <v>5000</v>
      </c>
    </row>
    <row r="225" spans="1:6">
      <c r="A225" s="166" t="s">
        <v>532</v>
      </c>
      <c r="B225" s="146"/>
      <c r="C225" s="135" t="s">
        <v>445</v>
      </c>
      <c r="D225" s="105">
        <f>10000-10000</f>
        <v>0</v>
      </c>
      <c r="E225" s="105">
        <v>0</v>
      </c>
      <c r="F225" s="124">
        <f>D225-E225</f>
        <v>0</v>
      </c>
    </row>
    <row r="226" spans="1:6">
      <c r="A226" s="129" t="s">
        <v>35</v>
      </c>
      <c r="B226" s="171"/>
      <c r="C226" s="171"/>
      <c r="D226" s="152">
        <f>SUM(D221:D225)</f>
        <v>5000</v>
      </c>
      <c r="E226" s="152">
        <f>SUM(E221:E225)</f>
        <v>0</v>
      </c>
      <c r="F226" s="143">
        <f>SUM(F221:F225)</f>
        <v>5000</v>
      </c>
    </row>
    <row r="227" spans="1:6">
      <c r="A227" s="118" t="s">
        <v>488</v>
      </c>
      <c r="B227" s="134" t="s">
        <v>460</v>
      </c>
      <c r="C227" s="134" t="s">
        <v>536</v>
      </c>
      <c r="D227" s="205"/>
      <c r="E227" s="205"/>
      <c r="F227" s="120">
        <f>D227-E227</f>
        <v>0</v>
      </c>
    </row>
    <row r="228" spans="1:6">
      <c r="A228" s="179" t="s">
        <v>535</v>
      </c>
      <c r="B228" s="121" t="s">
        <v>463</v>
      </c>
      <c r="C228" s="121" t="s">
        <v>90</v>
      </c>
      <c r="D228" s="186"/>
      <c r="E228" s="186"/>
      <c r="F228" s="124"/>
    </row>
    <row r="229" spans="1:6">
      <c r="A229" s="204" t="s">
        <v>886</v>
      </c>
      <c r="B229" s="121"/>
      <c r="C229" s="135" t="s">
        <v>445</v>
      </c>
      <c r="D229" s="105">
        <v>30000</v>
      </c>
      <c r="E229" s="105">
        <v>15900</v>
      </c>
      <c r="F229" s="124">
        <f t="shared" ref="F229:F234" si="15">D229-E229</f>
        <v>14100</v>
      </c>
    </row>
    <row r="230" spans="1:6">
      <c r="A230" s="197" t="s">
        <v>887</v>
      </c>
      <c r="B230" s="121"/>
      <c r="C230" s="135" t="s">
        <v>445</v>
      </c>
      <c r="D230" s="105">
        <v>10000</v>
      </c>
      <c r="E230" s="105">
        <v>0</v>
      </c>
      <c r="F230" s="124">
        <f t="shared" si="15"/>
        <v>10000</v>
      </c>
    </row>
    <row r="231" spans="1:6">
      <c r="A231" s="197" t="s">
        <v>1045</v>
      </c>
      <c r="B231" s="121"/>
      <c r="C231" s="135" t="s">
        <v>445</v>
      </c>
      <c r="D231" s="105">
        <f>20000+25000-6810</f>
        <v>38190</v>
      </c>
      <c r="E231" s="105">
        <v>38190</v>
      </c>
      <c r="F231" s="124">
        <f>D231-E231</f>
        <v>0</v>
      </c>
    </row>
    <row r="232" spans="1:6">
      <c r="A232" s="197" t="s">
        <v>888</v>
      </c>
      <c r="B232" s="121"/>
      <c r="C232" s="135" t="s">
        <v>445</v>
      </c>
      <c r="D232" s="105">
        <f>30000</f>
        <v>30000</v>
      </c>
      <c r="E232" s="105">
        <v>28990</v>
      </c>
      <c r="F232" s="124">
        <f>D232-E232</f>
        <v>1010</v>
      </c>
    </row>
    <row r="233" spans="1:6">
      <c r="A233" s="204" t="s">
        <v>889</v>
      </c>
      <c r="B233" s="121"/>
      <c r="C233" s="135" t="s">
        <v>445</v>
      </c>
      <c r="D233" s="105">
        <v>20000</v>
      </c>
      <c r="E233" s="105">
        <v>19245</v>
      </c>
      <c r="F233" s="124">
        <f t="shared" si="15"/>
        <v>755</v>
      </c>
    </row>
    <row r="234" spans="1:6">
      <c r="A234" s="204" t="s">
        <v>890</v>
      </c>
      <c r="B234" s="121"/>
      <c r="C234" s="135" t="s">
        <v>445</v>
      </c>
      <c r="D234" s="105">
        <v>10000</v>
      </c>
      <c r="E234" s="105">
        <v>4900</v>
      </c>
      <c r="F234" s="124">
        <f t="shared" si="15"/>
        <v>5100</v>
      </c>
    </row>
    <row r="235" spans="1:6">
      <c r="A235" s="338"/>
      <c r="B235" s="339"/>
      <c r="C235" s="340"/>
      <c r="D235" s="478"/>
      <c r="E235" s="478"/>
      <c r="F235" s="341"/>
    </row>
    <row r="236" spans="1:6">
      <c r="A236" s="129" t="s">
        <v>35</v>
      </c>
      <c r="B236" s="171"/>
      <c r="C236" s="171"/>
      <c r="D236" s="130">
        <f>SUM(D229:D235)</f>
        <v>138190</v>
      </c>
      <c r="E236" s="130">
        <f>SUM(E229:E235)</f>
        <v>107225</v>
      </c>
      <c r="F236" s="143">
        <f>SUM(F229:F235)</f>
        <v>30965</v>
      </c>
    </row>
    <row r="237" spans="1:6">
      <c r="A237" s="181" t="s">
        <v>488</v>
      </c>
      <c r="B237" s="176" t="s">
        <v>466</v>
      </c>
      <c r="C237" s="121" t="s">
        <v>467</v>
      </c>
      <c r="D237" s="175"/>
      <c r="E237" s="175"/>
      <c r="F237" s="154"/>
    </row>
    <row r="238" spans="1:6">
      <c r="A238" s="179" t="s">
        <v>503</v>
      </c>
      <c r="B238" s="121" t="s">
        <v>105</v>
      </c>
      <c r="C238" s="135" t="s">
        <v>445</v>
      </c>
      <c r="D238" s="105">
        <v>10000</v>
      </c>
      <c r="E238" s="186">
        <v>0</v>
      </c>
      <c r="F238" s="124">
        <f>D238-E238</f>
        <v>10000</v>
      </c>
    </row>
    <row r="239" spans="1:6">
      <c r="A239" s="179" t="s">
        <v>537</v>
      </c>
      <c r="B239" s="121"/>
      <c r="C239" s="135" t="s">
        <v>445</v>
      </c>
      <c r="D239" s="105"/>
      <c r="E239" s="186"/>
      <c r="F239" s="124"/>
    </row>
    <row r="240" spans="1:6">
      <c r="A240" s="179" t="s">
        <v>1048</v>
      </c>
      <c r="B240" s="121"/>
      <c r="C240" s="135" t="s">
        <v>445</v>
      </c>
      <c r="D240" s="105">
        <v>10000</v>
      </c>
      <c r="E240" s="105">
        <v>10000</v>
      </c>
      <c r="F240" s="124">
        <f>D240-E240</f>
        <v>0</v>
      </c>
    </row>
    <row r="241" spans="1:7">
      <c r="A241" s="123" t="s">
        <v>538</v>
      </c>
      <c r="B241" s="121"/>
      <c r="C241" s="135" t="s">
        <v>445</v>
      </c>
      <c r="D241" s="105">
        <v>10000</v>
      </c>
      <c r="E241" s="105">
        <v>236</v>
      </c>
      <c r="F241" s="124">
        <f>D241-E241</f>
        <v>9764</v>
      </c>
    </row>
    <row r="242" spans="1:7">
      <c r="A242" s="166" t="s">
        <v>539</v>
      </c>
      <c r="B242" s="146"/>
      <c r="C242" s="135" t="s">
        <v>445</v>
      </c>
      <c r="D242" s="148">
        <v>10000</v>
      </c>
      <c r="E242" s="674">
        <v>0</v>
      </c>
      <c r="F242" s="149">
        <f>D242-E242</f>
        <v>10000</v>
      </c>
    </row>
    <row r="243" spans="1:7">
      <c r="A243" s="129" t="s">
        <v>35</v>
      </c>
      <c r="B243" s="171"/>
      <c r="C243" s="171"/>
      <c r="D243" s="130">
        <f>SUM(D238:D242)</f>
        <v>40000</v>
      </c>
      <c r="E243" s="130">
        <f>SUM(E238:E242)</f>
        <v>10236</v>
      </c>
      <c r="F243" s="143">
        <f>SUM(F237:F242)</f>
        <v>29764</v>
      </c>
    </row>
    <row r="244" spans="1:7">
      <c r="A244" s="117" t="s">
        <v>488</v>
      </c>
      <c r="B244" s="134"/>
      <c r="C244" s="134"/>
      <c r="D244" s="205"/>
      <c r="E244" s="205"/>
      <c r="F244" s="120"/>
    </row>
    <row r="245" spans="1:7">
      <c r="A245" s="179" t="s">
        <v>535</v>
      </c>
      <c r="B245" s="121" t="s">
        <v>540</v>
      </c>
      <c r="C245" s="121" t="s">
        <v>541</v>
      </c>
      <c r="D245" s="186"/>
      <c r="E245" s="186"/>
      <c r="F245" s="124"/>
    </row>
    <row r="246" spans="1:7">
      <c r="A246" s="197" t="s">
        <v>542</v>
      </c>
      <c r="B246" s="121" t="s">
        <v>105</v>
      </c>
      <c r="C246" s="135" t="s">
        <v>445</v>
      </c>
      <c r="D246" s="105">
        <v>20000</v>
      </c>
      <c r="E246" s="105">
        <v>15400</v>
      </c>
      <c r="F246" s="124">
        <f>D246-E246</f>
        <v>4600</v>
      </c>
    </row>
    <row r="247" spans="1:7">
      <c r="A247" s="197" t="s">
        <v>543</v>
      </c>
      <c r="B247" s="121"/>
      <c r="C247" s="135" t="s">
        <v>445</v>
      </c>
      <c r="D247" s="105">
        <v>40000</v>
      </c>
      <c r="E247" s="105">
        <v>11920</v>
      </c>
      <c r="F247" s="124">
        <f>D247-E247</f>
        <v>28080</v>
      </c>
    </row>
    <row r="248" spans="1:7">
      <c r="A248" s="197" t="s">
        <v>1049</v>
      </c>
      <c r="B248" s="121"/>
      <c r="C248" s="138" t="s">
        <v>445</v>
      </c>
      <c r="D248" s="675">
        <v>100000</v>
      </c>
      <c r="E248" s="106">
        <v>0</v>
      </c>
      <c r="F248" s="127">
        <f>D248-E248</f>
        <v>100000</v>
      </c>
    </row>
    <row r="249" spans="1:7">
      <c r="A249" s="129" t="s">
        <v>35</v>
      </c>
      <c r="B249" s="171"/>
      <c r="C249" s="171"/>
      <c r="D249" s="672">
        <f>SUM(D246:D248)</f>
        <v>160000</v>
      </c>
      <c r="E249" s="672">
        <f>SUM(E246:E247)</f>
        <v>27320</v>
      </c>
      <c r="F249" s="141">
        <f>SUM(F246:F248)</f>
        <v>132680</v>
      </c>
    </row>
    <row r="250" spans="1:7">
      <c r="A250" s="676" t="s">
        <v>544</v>
      </c>
      <c r="B250" s="201"/>
      <c r="C250" s="171"/>
      <c r="D250" s="206">
        <f>D146+D155+D163+D172+D180+D183+D189+D195+D199+D203+D209+D219+D226+D236+D243+D249</f>
        <v>4364467</v>
      </c>
      <c r="E250" s="206">
        <f>E146+E155+E163+E172+E180+E183+E189+E195+E199+E203+E209+E219+E226+E236+E243+E249</f>
        <v>2653622.7999999998</v>
      </c>
      <c r="F250" s="206">
        <f>F146+F155+F163+F172+F180+F183+F189+F195+F199+F203+F209+F219+F226+F236+F243+F249</f>
        <v>1710844.2</v>
      </c>
    </row>
    <row r="251" spans="1:7">
      <c r="A251" s="132" t="s">
        <v>545</v>
      </c>
      <c r="B251" s="144"/>
      <c r="C251" s="207"/>
      <c r="D251" s="208"/>
      <c r="E251" s="209"/>
      <c r="F251" s="209"/>
    </row>
    <row r="252" spans="1:7">
      <c r="A252" s="124" t="s">
        <v>550</v>
      </c>
      <c r="B252" s="135" t="s">
        <v>409</v>
      </c>
      <c r="C252" s="136" t="s">
        <v>547</v>
      </c>
      <c r="D252" s="105">
        <f>150000-2000</f>
        <v>148000</v>
      </c>
      <c r="E252" s="124">
        <v>137810</v>
      </c>
      <c r="F252" s="124">
        <f t="shared" ref="F252:F275" si="16">D252-E252</f>
        <v>10190</v>
      </c>
      <c r="G252" s="174" t="e">
        <f>SUM(#REF!)</f>
        <v>#REF!</v>
      </c>
    </row>
    <row r="253" spans="1:7">
      <c r="A253" s="124" t="s">
        <v>891</v>
      </c>
      <c r="B253" s="192"/>
      <c r="C253" s="137" t="s">
        <v>423</v>
      </c>
      <c r="D253" s="105">
        <v>10000</v>
      </c>
      <c r="E253" s="124">
        <v>4250</v>
      </c>
      <c r="F253" s="124">
        <f t="shared" si="16"/>
        <v>5750</v>
      </c>
    </row>
    <row r="254" spans="1:7">
      <c r="A254" s="124" t="s">
        <v>892</v>
      </c>
      <c r="B254" s="121"/>
      <c r="C254" s="135" t="s">
        <v>445</v>
      </c>
      <c r="D254" s="105">
        <v>20000</v>
      </c>
      <c r="E254" s="124">
        <v>0</v>
      </c>
      <c r="F254" s="124">
        <f t="shared" si="16"/>
        <v>20000</v>
      </c>
    </row>
    <row r="255" spans="1:7">
      <c r="A255" s="124" t="s">
        <v>893</v>
      </c>
      <c r="B255" s="192"/>
      <c r="C255" s="135" t="s">
        <v>445</v>
      </c>
      <c r="D255" s="105">
        <v>150000</v>
      </c>
      <c r="E255" s="124">
        <v>133737</v>
      </c>
      <c r="F255" s="124">
        <f t="shared" si="16"/>
        <v>16263</v>
      </c>
    </row>
    <row r="256" spans="1:7">
      <c r="A256" s="124" t="s">
        <v>894</v>
      </c>
      <c r="B256" s="192"/>
      <c r="C256" s="135" t="s">
        <v>445</v>
      </c>
      <c r="D256" s="105">
        <v>10000</v>
      </c>
      <c r="E256" s="124">
        <v>0</v>
      </c>
      <c r="F256" s="124">
        <f t="shared" si="16"/>
        <v>10000</v>
      </c>
    </row>
    <row r="257" spans="1:6">
      <c r="A257" s="149" t="s">
        <v>895</v>
      </c>
      <c r="B257" s="194"/>
      <c r="C257" s="147" t="s">
        <v>445</v>
      </c>
      <c r="D257" s="148">
        <v>50000</v>
      </c>
      <c r="E257" s="149">
        <v>49000</v>
      </c>
      <c r="F257" s="149">
        <f t="shared" si="16"/>
        <v>1000</v>
      </c>
    </row>
    <row r="258" spans="1:6">
      <c r="A258" s="129" t="s">
        <v>35</v>
      </c>
      <c r="B258" s="171"/>
      <c r="C258" s="142"/>
      <c r="D258" s="152">
        <f>SUM(D252:D257)</f>
        <v>388000</v>
      </c>
      <c r="E258" s="152">
        <f>SUM(E252:E257)</f>
        <v>324797</v>
      </c>
      <c r="F258" s="143">
        <f t="shared" si="16"/>
        <v>63203</v>
      </c>
    </row>
    <row r="259" spans="1:6">
      <c r="A259" s="165" t="s">
        <v>1056</v>
      </c>
      <c r="B259" s="135" t="s">
        <v>409</v>
      </c>
      <c r="C259" s="136" t="s">
        <v>548</v>
      </c>
      <c r="D259" s="157"/>
      <c r="E259" s="157"/>
      <c r="F259" s="154">
        <f>D259-E259</f>
        <v>0</v>
      </c>
    </row>
    <row r="260" spans="1:6">
      <c r="A260" s="154" t="s">
        <v>1057</v>
      </c>
      <c r="B260" s="325"/>
      <c r="C260" s="228"/>
      <c r="D260" s="673">
        <v>5500</v>
      </c>
      <c r="E260" s="673">
        <v>5500</v>
      </c>
      <c r="F260" s="158"/>
    </row>
    <row r="261" spans="1:6">
      <c r="A261" s="129" t="s">
        <v>35</v>
      </c>
      <c r="B261" s="201"/>
      <c r="C261" s="171"/>
      <c r="D261" s="206">
        <f>SUM(D259:D260)</f>
        <v>5500</v>
      </c>
      <c r="E261" s="206">
        <f>SUM(E259:E260)</f>
        <v>5500</v>
      </c>
      <c r="F261" s="143">
        <f>D261-E261</f>
        <v>0</v>
      </c>
    </row>
    <row r="262" spans="1:6">
      <c r="A262" s="132" t="s">
        <v>545</v>
      </c>
      <c r="B262" s="324"/>
      <c r="C262" s="227"/>
      <c r="D262" s="330"/>
      <c r="E262" s="331"/>
      <c r="F262" s="158"/>
    </row>
    <row r="263" spans="1:6">
      <c r="A263" s="154" t="s">
        <v>546</v>
      </c>
      <c r="B263" s="155" t="s">
        <v>436</v>
      </c>
      <c r="C263" s="156" t="s">
        <v>437</v>
      </c>
      <c r="D263" s="157">
        <v>40000</v>
      </c>
      <c r="E263" s="157">
        <v>26944</v>
      </c>
      <c r="F263" s="154">
        <f t="shared" si="16"/>
        <v>13056</v>
      </c>
    </row>
    <row r="264" spans="1:6">
      <c r="A264" s="149" t="s">
        <v>549</v>
      </c>
      <c r="B264" s="147"/>
      <c r="C264" s="147" t="s">
        <v>445</v>
      </c>
      <c r="D264" s="148">
        <v>20000</v>
      </c>
      <c r="E264" s="149">
        <v>20000</v>
      </c>
      <c r="F264" s="149">
        <f t="shared" si="16"/>
        <v>0</v>
      </c>
    </row>
    <row r="265" spans="1:6">
      <c r="A265" s="129" t="s">
        <v>35</v>
      </c>
      <c r="B265" s="201"/>
      <c r="C265" s="171"/>
      <c r="D265" s="206">
        <f>SUM(D263:D264)</f>
        <v>60000</v>
      </c>
      <c r="E265" s="677">
        <f>SUM(E263:E264)</f>
        <v>46944</v>
      </c>
      <c r="F265" s="143">
        <f t="shared" si="16"/>
        <v>13056</v>
      </c>
    </row>
    <row r="266" spans="1:6">
      <c r="A266" s="132" t="s">
        <v>545</v>
      </c>
      <c r="B266" s="324"/>
      <c r="C266" s="227"/>
      <c r="D266" s="330"/>
      <c r="E266" s="331"/>
      <c r="F266" s="158"/>
    </row>
    <row r="267" spans="1:6">
      <c r="A267" s="154" t="s">
        <v>550</v>
      </c>
      <c r="B267" s="182" t="s">
        <v>443</v>
      </c>
      <c r="C267" s="156" t="s">
        <v>444</v>
      </c>
      <c r="D267" s="678">
        <v>20000</v>
      </c>
      <c r="E267" s="679">
        <v>0</v>
      </c>
      <c r="F267" s="210">
        <f t="shared" si="16"/>
        <v>20000</v>
      </c>
    </row>
    <row r="268" spans="1:6">
      <c r="A268" s="183" t="s">
        <v>551</v>
      </c>
      <c r="B268" s="192"/>
      <c r="C268" s="135" t="s">
        <v>445</v>
      </c>
      <c r="D268" s="356">
        <v>20000</v>
      </c>
      <c r="E268" s="357">
        <v>7080</v>
      </c>
      <c r="F268" s="193">
        <f t="shared" si="16"/>
        <v>12920</v>
      </c>
    </row>
    <row r="269" spans="1:6">
      <c r="A269" s="183" t="s">
        <v>552</v>
      </c>
      <c r="B269" s="192"/>
      <c r="C269" s="135" t="s">
        <v>445</v>
      </c>
      <c r="D269" s="356">
        <v>10000</v>
      </c>
      <c r="E269" s="357">
        <v>0</v>
      </c>
      <c r="F269" s="193">
        <f t="shared" si="16"/>
        <v>10000</v>
      </c>
    </row>
    <row r="270" spans="1:6">
      <c r="A270" s="183" t="s">
        <v>553</v>
      </c>
      <c r="B270" s="192"/>
      <c r="C270" s="135" t="s">
        <v>445</v>
      </c>
      <c r="D270" s="356">
        <v>41825</v>
      </c>
      <c r="E270" s="357">
        <v>20254</v>
      </c>
      <c r="F270" s="193">
        <f t="shared" si="16"/>
        <v>21571</v>
      </c>
    </row>
    <row r="271" spans="1:6">
      <c r="A271" s="183" t="s">
        <v>554</v>
      </c>
      <c r="B271" s="192"/>
      <c r="C271" s="135" t="s">
        <v>445</v>
      </c>
      <c r="D271" s="356">
        <v>20000</v>
      </c>
      <c r="E271" s="357">
        <v>0</v>
      </c>
      <c r="F271" s="193">
        <f t="shared" si="16"/>
        <v>20000</v>
      </c>
    </row>
    <row r="272" spans="1:6">
      <c r="A272" s="149" t="s">
        <v>555</v>
      </c>
      <c r="B272" s="194"/>
      <c r="C272" s="135" t="s">
        <v>445</v>
      </c>
      <c r="D272" s="680">
        <v>10000</v>
      </c>
      <c r="E272" s="681">
        <v>9600</v>
      </c>
      <c r="F272" s="211">
        <f t="shared" si="16"/>
        <v>400</v>
      </c>
    </row>
    <row r="273" spans="1:15">
      <c r="A273" s="129" t="s">
        <v>35</v>
      </c>
      <c r="B273" s="201"/>
      <c r="C273" s="171"/>
      <c r="D273" s="206">
        <f>SUM(D267:D272)</f>
        <v>121825</v>
      </c>
      <c r="E273" s="677">
        <f>SUM(E267:E272)</f>
        <v>36934</v>
      </c>
      <c r="F273" s="143">
        <f t="shared" si="16"/>
        <v>84891</v>
      </c>
    </row>
    <row r="274" spans="1:15">
      <c r="A274" s="132" t="s">
        <v>545</v>
      </c>
      <c r="B274" s="324"/>
      <c r="C274" s="227"/>
      <c r="D274" s="330"/>
      <c r="E274" s="331"/>
      <c r="F274" s="158"/>
    </row>
    <row r="275" spans="1:15">
      <c r="A275" s="154" t="s">
        <v>556</v>
      </c>
      <c r="B275" s="182" t="s">
        <v>443</v>
      </c>
      <c r="C275" s="156" t="s">
        <v>557</v>
      </c>
      <c r="D275" s="678">
        <v>30000</v>
      </c>
      <c r="E275" s="679">
        <v>22460</v>
      </c>
      <c r="F275" s="210">
        <f t="shared" si="16"/>
        <v>7540</v>
      </c>
    </row>
    <row r="276" spans="1:15" s="111" customFormat="1">
      <c r="A276" s="154" t="s">
        <v>551</v>
      </c>
      <c r="B276" s="194"/>
      <c r="C276" s="135" t="s">
        <v>445</v>
      </c>
      <c r="D276" s="678">
        <v>72000</v>
      </c>
      <c r="E276" s="679">
        <v>68340</v>
      </c>
      <c r="F276" s="210">
        <f>D276-E276</f>
        <v>3660</v>
      </c>
      <c r="G276" s="112"/>
      <c r="H276" s="112"/>
      <c r="I276" s="112"/>
      <c r="J276" s="112"/>
      <c r="K276" s="112"/>
      <c r="L276" s="112"/>
      <c r="M276" s="112"/>
      <c r="N276" s="112"/>
      <c r="O276" s="112"/>
    </row>
    <row r="277" spans="1:15" s="111" customFormat="1">
      <c r="A277" s="129" t="s">
        <v>35</v>
      </c>
      <c r="B277" s="201"/>
      <c r="C277" s="171"/>
      <c r="D277" s="206">
        <f>SUM(D275:D276)</f>
        <v>102000</v>
      </c>
      <c r="E277" s="677">
        <f>SUM(E275:E276)</f>
        <v>90800</v>
      </c>
      <c r="F277" s="143">
        <f>D277-E277</f>
        <v>11200</v>
      </c>
      <c r="G277" s="112"/>
      <c r="H277" s="112"/>
      <c r="I277" s="112"/>
      <c r="J277" s="112"/>
      <c r="K277" s="112"/>
      <c r="L277" s="112"/>
      <c r="M277" s="112"/>
      <c r="N277" s="112"/>
      <c r="O277" s="112"/>
    </row>
    <row r="278" spans="1:15" s="111" customFormat="1">
      <c r="A278" s="132" t="s">
        <v>545</v>
      </c>
      <c r="B278" s="182" t="s">
        <v>446</v>
      </c>
      <c r="C278" s="185"/>
      <c r="D278" s="177"/>
      <c r="E278" s="212"/>
      <c r="F278" s="210"/>
      <c r="G278" s="112"/>
      <c r="H278" s="112"/>
      <c r="I278" s="112"/>
      <c r="J278" s="112"/>
      <c r="K278" s="112"/>
      <c r="L278" s="112"/>
      <c r="M278" s="112"/>
      <c r="N278" s="112"/>
      <c r="O278" s="112"/>
    </row>
    <row r="279" spans="1:15" s="111" customFormat="1">
      <c r="A279" s="123" t="s">
        <v>558</v>
      </c>
      <c r="B279" s="135" t="s">
        <v>482</v>
      </c>
      <c r="C279" s="183" t="s">
        <v>447</v>
      </c>
      <c r="D279" s="342">
        <v>20000</v>
      </c>
      <c r="E279" s="343">
        <v>19851</v>
      </c>
      <c r="F279" s="193">
        <f t="shared" ref="F279:F284" si="17">D279-E279</f>
        <v>149</v>
      </c>
      <c r="G279" s="112"/>
      <c r="H279" s="112"/>
      <c r="I279" s="112"/>
      <c r="J279" s="112"/>
      <c r="K279" s="112"/>
      <c r="L279" s="112"/>
      <c r="M279" s="112"/>
      <c r="N279" s="112"/>
      <c r="O279" s="112"/>
    </row>
    <row r="280" spans="1:15" s="111" customFormat="1">
      <c r="A280" s="123" t="s">
        <v>559</v>
      </c>
      <c r="B280" s="135" t="s">
        <v>484</v>
      </c>
      <c r="C280" s="135" t="s">
        <v>445</v>
      </c>
      <c r="D280" s="342">
        <v>5000</v>
      </c>
      <c r="E280" s="343">
        <v>0</v>
      </c>
      <c r="F280" s="193">
        <f t="shared" si="17"/>
        <v>5000</v>
      </c>
      <c r="G280" s="112"/>
      <c r="H280" s="112"/>
      <c r="I280" s="112"/>
      <c r="J280" s="112"/>
      <c r="K280" s="112"/>
      <c r="L280" s="112"/>
      <c r="M280" s="112"/>
      <c r="N280" s="112"/>
      <c r="O280" s="112"/>
    </row>
    <row r="281" spans="1:15" s="111" customFormat="1">
      <c r="A281" s="123" t="s">
        <v>560</v>
      </c>
      <c r="B281" s="192"/>
      <c r="C281" s="135" t="s">
        <v>445</v>
      </c>
      <c r="D281" s="342">
        <v>10000</v>
      </c>
      <c r="E281" s="343"/>
      <c r="F281" s="193">
        <f t="shared" si="17"/>
        <v>10000</v>
      </c>
      <c r="G281" s="112"/>
      <c r="H281" s="112"/>
      <c r="I281" s="112"/>
      <c r="J281" s="112"/>
      <c r="K281" s="112"/>
      <c r="L281" s="112"/>
      <c r="M281" s="112"/>
      <c r="N281" s="112"/>
      <c r="O281" s="112"/>
    </row>
    <row r="282" spans="1:15" s="111" customFormat="1">
      <c r="A282" s="166" t="s">
        <v>561</v>
      </c>
      <c r="B282" s="194"/>
      <c r="C282" s="135" t="s">
        <v>445</v>
      </c>
      <c r="D282" s="160">
        <v>10000</v>
      </c>
      <c r="E282" s="213">
        <v>9000</v>
      </c>
      <c r="F282" s="211">
        <f t="shared" si="17"/>
        <v>1000</v>
      </c>
      <c r="G282" s="112"/>
      <c r="H282" s="112"/>
      <c r="I282" s="112"/>
      <c r="J282" s="112"/>
      <c r="K282" s="112"/>
      <c r="L282" s="112"/>
      <c r="M282" s="112"/>
      <c r="N282" s="112"/>
      <c r="O282" s="112"/>
    </row>
    <row r="283" spans="1:15" s="111" customFormat="1">
      <c r="A283" s="129" t="s">
        <v>35</v>
      </c>
      <c r="B283" s="201"/>
      <c r="C283" s="142"/>
      <c r="D283" s="206">
        <f>SUM(D279:D282)</f>
        <v>45000</v>
      </c>
      <c r="E283" s="206">
        <f>SUM(E279:E282)</f>
        <v>28851</v>
      </c>
      <c r="F283" s="195">
        <f t="shared" si="17"/>
        <v>16149</v>
      </c>
      <c r="G283" s="112"/>
      <c r="H283" s="112"/>
      <c r="I283" s="112"/>
      <c r="J283" s="112"/>
      <c r="K283" s="112"/>
      <c r="L283" s="112"/>
      <c r="M283" s="112"/>
      <c r="N283" s="112"/>
      <c r="O283" s="112"/>
    </row>
    <row r="284" spans="1:15" s="111" customFormat="1">
      <c r="A284" s="214" t="s">
        <v>562</v>
      </c>
      <c r="B284" s="182" t="s">
        <v>446</v>
      </c>
      <c r="C284" s="185" t="s">
        <v>452</v>
      </c>
      <c r="D284" s="163">
        <v>944683</v>
      </c>
      <c r="E284" s="163">
        <v>795697.52</v>
      </c>
      <c r="F284" s="210">
        <f t="shared" si="17"/>
        <v>148985.47999999998</v>
      </c>
      <c r="G284" s="112"/>
      <c r="H284" s="112"/>
      <c r="I284" s="112"/>
      <c r="J284" s="112"/>
      <c r="K284" s="112"/>
      <c r="L284" s="112"/>
      <c r="M284" s="112"/>
      <c r="N284" s="112"/>
      <c r="O284" s="112"/>
    </row>
    <row r="285" spans="1:15" s="111" customFormat="1">
      <c r="A285" s="215"/>
      <c r="B285" s="194"/>
      <c r="C285" s="147"/>
      <c r="D285" s="216"/>
      <c r="E285" s="216"/>
      <c r="F285" s="211"/>
      <c r="G285" s="112"/>
      <c r="H285" s="112"/>
      <c r="I285" s="112"/>
      <c r="J285" s="112"/>
      <c r="K285" s="112"/>
      <c r="L285" s="112"/>
      <c r="M285" s="112"/>
      <c r="N285" s="112"/>
      <c r="O285" s="112"/>
    </row>
    <row r="286" spans="1:15" s="111" customFormat="1">
      <c r="A286" s="129" t="s">
        <v>35</v>
      </c>
      <c r="B286" s="201"/>
      <c r="C286" s="142"/>
      <c r="D286" s="206">
        <f>SUM(D284:D285)</f>
        <v>944683</v>
      </c>
      <c r="E286" s="206">
        <f>SUM(E284:E285)</f>
        <v>795697.52</v>
      </c>
      <c r="F286" s="195">
        <f>D286-E286</f>
        <v>148985.47999999998</v>
      </c>
      <c r="G286" s="112"/>
      <c r="H286" s="112"/>
      <c r="I286" s="112"/>
      <c r="J286" s="112"/>
      <c r="K286" s="112"/>
      <c r="L286" s="112"/>
      <c r="M286" s="112"/>
      <c r="N286" s="112"/>
      <c r="O286" s="112"/>
    </row>
    <row r="287" spans="1:15" s="111" customFormat="1">
      <c r="A287" s="117" t="s">
        <v>545</v>
      </c>
      <c r="B287" s="144" t="s">
        <v>457</v>
      </c>
      <c r="C287" s="196" t="s">
        <v>563</v>
      </c>
      <c r="D287" s="208"/>
      <c r="E287" s="217"/>
      <c r="F287" s="218"/>
      <c r="G287" s="112"/>
      <c r="H287" s="112"/>
      <c r="I287" s="112"/>
      <c r="J287" s="112"/>
      <c r="K287" s="112"/>
      <c r="L287" s="112"/>
      <c r="M287" s="112"/>
      <c r="N287" s="112"/>
      <c r="O287" s="112"/>
    </row>
    <row r="288" spans="1:15">
      <c r="A288" s="123" t="s">
        <v>558</v>
      </c>
      <c r="B288" s="192"/>
      <c r="C288" s="135" t="s">
        <v>445</v>
      </c>
      <c r="D288" s="342">
        <v>10000</v>
      </c>
      <c r="E288" s="343">
        <v>0</v>
      </c>
      <c r="F288" s="193">
        <f>D288-E288</f>
        <v>10000</v>
      </c>
    </row>
    <row r="289" spans="1:14">
      <c r="A289" s="123" t="s">
        <v>564</v>
      </c>
      <c r="B289" s="192"/>
      <c r="C289" s="135" t="s">
        <v>445</v>
      </c>
      <c r="D289" s="342">
        <v>46000</v>
      </c>
      <c r="E289" s="343">
        <v>39790</v>
      </c>
      <c r="F289" s="193">
        <f>D289-E289</f>
        <v>6210</v>
      </c>
    </row>
    <row r="290" spans="1:14">
      <c r="A290" s="166" t="s">
        <v>565</v>
      </c>
      <c r="B290" s="194"/>
      <c r="C290" s="135" t="s">
        <v>445</v>
      </c>
      <c r="D290" s="160">
        <v>10000</v>
      </c>
      <c r="E290" s="213">
        <v>10000</v>
      </c>
      <c r="F290" s="211">
        <f>D290-E290</f>
        <v>0</v>
      </c>
    </row>
    <row r="291" spans="1:14">
      <c r="A291" s="129" t="s">
        <v>35</v>
      </c>
      <c r="B291" s="201"/>
      <c r="C291" s="201"/>
      <c r="D291" s="206">
        <f>SUM(D288:D290)</f>
        <v>66000</v>
      </c>
      <c r="E291" s="219">
        <f>SUM(E288:E290)</f>
        <v>49790</v>
      </c>
      <c r="F291" s="195">
        <f>D291-E291</f>
        <v>16210</v>
      </c>
    </row>
    <row r="292" spans="1:14">
      <c r="A292" s="181" t="s">
        <v>545</v>
      </c>
      <c r="B292" s="135" t="s">
        <v>460</v>
      </c>
      <c r="C292" s="135" t="s">
        <v>566</v>
      </c>
      <c r="D292" s="177"/>
      <c r="E292" s="212"/>
      <c r="F292" s="210"/>
    </row>
    <row r="293" spans="1:14">
      <c r="A293" s="123" t="s">
        <v>558</v>
      </c>
      <c r="B293" s="147" t="s">
        <v>463</v>
      </c>
      <c r="C293" s="135" t="s">
        <v>445</v>
      </c>
      <c r="D293" s="342">
        <f>20000-20000</f>
        <v>0</v>
      </c>
      <c r="E293" s="343">
        <v>0</v>
      </c>
      <c r="F293" s="193">
        <f>D293-E293</f>
        <v>0</v>
      </c>
    </row>
    <row r="294" spans="1:14">
      <c r="A294" s="166" t="s">
        <v>567</v>
      </c>
      <c r="B294" s="147"/>
      <c r="C294" s="135" t="s">
        <v>445</v>
      </c>
      <c r="D294" s="160">
        <f>10000-10000</f>
        <v>0</v>
      </c>
      <c r="E294" s="213">
        <v>0</v>
      </c>
      <c r="F294" s="211">
        <f>D294-E294</f>
        <v>0</v>
      </c>
    </row>
    <row r="295" spans="1:14">
      <c r="A295" s="129" t="s">
        <v>35</v>
      </c>
      <c r="B295" s="201"/>
      <c r="C295" s="201"/>
      <c r="D295" s="206">
        <f>SUM(D292:D294)</f>
        <v>0</v>
      </c>
      <c r="E295" s="219">
        <f>SUM(E292:E294)</f>
        <v>0</v>
      </c>
      <c r="F295" s="195">
        <f>D295-E295</f>
        <v>0</v>
      </c>
    </row>
    <row r="296" spans="1:14">
      <c r="A296" s="181" t="s">
        <v>545</v>
      </c>
      <c r="B296" s="182" t="s">
        <v>466</v>
      </c>
      <c r="C296" s="178"/>
      <c r="D296" s="177"/>
      <c r="E296" s="212"/>
      <c r="F296" s="210"/>
    </row>
    <row r="297" spans="1:14">
      <c r="A297" s="179" t="s">
        <v>568</v>
      </c>
      <c r="B297" s="135" t="s">
        <v>105</v>
      </c>
      <c r="C297" s="136" t="s">
        <v>467</v>
      </c>
      <c r="D297" s="342">
        <v>10000</v>
      </c>
      <c r="E297" s="343">
        <v>10000</v>
      </c>
      <c r="F297" s="193">
        <f>D297-E297</f>
        <v>0</v>
      </c>
    </row>
    <row r="298" spans="1:14">
      <c r="A298" s="184"/>
      <c r="B298" s="194"/>
      <c r="C298" s="194"/>
      <c r="D298" s="216"/>
      <c r="E298" s="220"/>
      <c r="F298" s="211"/>
    </row>
    <row r="299" spans="1:14">
      <c r="A299" s="129" t="s">
        <v>35</v>
      </c>
      <c r="B299" s="201"/>
      <c r="C299" s="201"/>
      <c r="D299" s="206">
        <f>SUM(D297:D298)</f>
        <v>10000</v>
      </c>
      <c r="E299" s="206">
        <f>SUM(E297:E298)</f>
        <v>10000</v>
      </c>
      <c r="F299" s="195">
        <f>D299-E299</f>
        <v>0</v>
      </c>
    </row>
    <row r="300" spans="1:14">
      <c r="A300" s="676" t="s">
        <v>569</v>
      </c>
      <c r="B300" s="171"/>
      <c r="C300" s="171"/>
      <c r="D300" s="130">
        <f>D258+D261+D265+D273+D277+D283+D286+D291+D295+D299</f>
        <v>1743008</v>
      </c>
      <c r="E300" s="130">
        <f>E258+E261+E265+E273+E277+E283+E286+E291+E295+E299</f>
        <v>1389313.52</v>
      </c>
      <c r="F300" s="130">
        <f>F299+F295+F291+F286+F283+F277+F273+F265+F261+F258</f>
        <v>353694.48</v>
      </c>
    </row>
    <row r="301" spans="1:14">
      <c r="A301" s="132" t="s">
        <v>570</v>
      </c>
      <c r="B301" s="144" t="s">
        <v>409</v>
      </c>
      <c r="C301" s="136" t="s">
        <v>547</v>
      </c>
      <c r="D301" s="208"/>
      <c r="E301" s="209"/>
      <c r="F301" s="209"/>
    </row>
    <row r="302" spans="1:14">
      <c r="A302" s="124" t="s">
        <v>571</v>
      </c>
      <c r="B302" s="135"/>
      <c r="C302" s="135" t="s">
        <v>445</v>
      </c>
      <c r="D302" s="342">
        <f>300000-10000-10000</f>
        <v>280000</v>
      </c>
      <c r="E302" s="357">
        <v>229507.48</v>
      </c>
      <c r="F302" s="343">
        <f t="shared" ref="F302:F307" si="18">D302-E302</f>
        <v>50492.51999999999</v>
      </c>
      <c r="G302" s="111">
        <f t="shared" ref="G302:N302" si="19">SUM(G288:G301)</f>
        <v>0</v>
      </c>
      <c r="H302" s="111">
        <f t="shared" si="19"/>
        <v>0</v>
      </c>
      <c r="I302" s="111">
        <f t="shared" si="19"/>
        <v>0</v>
      </c>
      <c r="J302" s="111">
        <f t="shared" si="19"/>
        <v>0</v>
      </c>
      <c r="K302" s="111">
        <f t="shared" si="19"/>
        <v>0</v>
      </c>
      <c r="L302" s="111">
        <f t="shared" si="19"/>
        <v>0</v>
      </c>
      <c r="M302" s="111">
        <f t="shared" si="19"/>
        <v>0</v>
      </c>
      <c r="N302" s="111">
        <f t="shared" si="19"/>
        <v>0</v>
      </c>
    </row>
    <row r="303" spans="1:14">
      <c r="A303" s="124" t="s">
        <v>572</v>
      </c>
      <c r="B303" s="135"/>
      <c r="C303" s="135" t="s">
        <v>445</v>
      </c>
      <c r="D303" s="342">
        <v>15000</v>
      </c>
      <c r="E303" s="357">
        <v>9082.19</v>
      </c>
      <c r="F303" s="343">
        <f t="shared" si="18"/>
        <v>5917.8099999999995</v>
      </c>
    </row>
    <row r="304" spans="1:14">
      <c r="A304" s="124" t="s">
        <v>573</v>
      </c>
      <c r="B304" s="135"/>
      <c r="C304" s="135" t="s">
        <v>445</v>
      </c>
      <c r="D304" s="342">
        <v>15000</v>
      </c>
      <c r="E304" s="357">
        <v>1597.51</v>
      </c>
      <c r="F304" s="343">
        <f t="shared" si="18"/>
        <v>13402.49</v>
      </c>
    </row>
    <row r="305" spans="1:6">
      <c r="A305" s="124" t="s">
        <v>574</v>
      </c>
      <c r="B305" s="135"/>
      <c r="C305" s="135" t="s">
        <v>445</v>
      </c>
      <c r="D305" s="342">
        <v>10000</v>
      </c>
      <c r="E305" s="357">
        <v>6451</v>
      </c>
      <c r="F305" s="343">
        <f t="shared" si="18"/>
        <v>3549</v>
      </c>
    </row>
    <row r="306" spans="1:6">
      <c r="A306" s="149" t="s">
        <v>575</v>
      </c>
      <c r="B306" s="147"/>
      <c r="C306" s="135" t="s">
        <v>445</v>
      </c>
      <c r="D306" s="160">
        <f>95000+10000+10000</f>
        <v>115000</v>
      </c>
      <c r="E306" s="681">
        <v>99714.43</v>
      </c>
      <c r="F306" s="213">
        <f t="shared" si="18"/>
        <v>15285.570000000007</v>
      </c>
    </row>
    <row r="307" spans="1:6">
      <c r="A307" s="129" t="s">
        <v>35</v>
      </c>
      <c r="B307" s="142"/>
      <c r="C307" s="142"/>
      <c r="D307" s="130">
        <f>SUM(D301:D306)</f>
        <v>435000</v>
      </c>
      <c r="E307" s="219">
        <f>SUM(E302:E306)</f>
        <v>346352.61</v>
      </c>
      <c r="F307" s="219">
        <f t="shared" si="18"/>
        <v>88647.390000000014</v>
      </c>
    </row>
    <row r="308" spans="1:6">
      <c r="A308" s="132" t="s">
        <v>570</v>
      </c>
      <c r="B308" s="178"/>
      <c r="C308" s="185"/>
      <c r="D308" s="177"/>
      <c r="E308" s="222"/>
      <c r="F308" s="165"/>
    </row>
    <row r="309" spans="1:6">
      <c r="A309" s="123" t="s">
        <v>571</v>
      </c>
      <c r="B309" s="135" t="s">
        <v>446</v>
      </c>
      <c r="C309" s="183" t="s">
        <v>576</v>
      </c>
      <c r="D309" s="342">
        <v>40000</v>
      </c>
      <c r="E309" s="122">
        <v>17943.509999999998</v>
      </c>
      <c r="F309" s="124">
        <f>D309-E309</f>
        <v>22056.49</v>
      </c>
    </row>
    <row r="310" spans="1:6">
      <c r="A310" s="123" t="s">
        <v>577</v>
      </c>
      <c r="B310" s="135" t="s">
        <v>482</v>
      </c>
      <c r="C310" s="135" t="s">
        <v>445</v>
      </c>
      <c r="D310" s="342">
        <v>20000</v>
      </c>
      <c r="E310" s="122">
        <v>5439.88</v>
      </c>
      <c r="F310" s="124">
        <f>D310-E310</f>
        <v>14560.119999999999</v>
      </c>
    </row>
    <row r="311" spans="1:6">
      <c r="A311" s="166"/>
      <c r="B311" s="147" t="s">
        <v>484</v>
      </c>
      <c r="C311" s="198"/>
      <c r="D311" s="160"/>
      <c r="E311" s="164"/>
      <c r="F311" s="149">
        <f>D311-E311</f>
        <v>0</v>
      </c>
    </row>
    <row r="312" spans="1:6">
      <c r="A312" s="129" t="s">
        <v>35</v>
      </c>
      <c r="B312" s="142"/>
      <c r="C312" s="232"/>
      <c r="D312" s="206">
        <f>SUM(D309:D311)</f>
        <v>60000</v>
      </c>
      <c r="E312" s="206">
        <f>SUM(E309:E311)</f>
        <v>23383.39</v>
      </c>
      <c r="F312" s="131">
        <f>D312-E312</f>
        <v>36616.61</v>
      </c>
    </row>
    <row r="313" spans="1:6">
      <c r="A313" s="676" t="s">
        <v>578</v>
      </c>
      <c r="B313" s="171"/>
      <c r="C313" s="171"/>
      <c r="D313" s="130">
        <f>D307+D312</f>
        <v>495000</v>
      </c>
      <c r="E313" s="130">
        <f>E307+E312</f>
        <v>369736</v>
      </c>
      <c r="F313" s="131">
        <f>D313-E313</f>
        <v>125264</v>
      </c>
    </row>
    <row r="314" spans="1:6">
      <c r="A314" s="132" t="s">
        <v>579</v>
      </c>
      <c r="B314" s="144"/>
      <c r="C314" s="134"/>
      <c r="D314" s="208"/>
      <c r="E314" s="209"/>
      <c r="F314" s="209"/>
    </row>
    <row r="315" spans="1:6">
      <c r="A315" s="124" t="s">
        <v>580</v>
      </c>
      <c r="B315" s="135"/>
      <c r="C315" s="121"/>
      <c r="D315" s="223"/>
      <c r="E315" s="192"/>
      <c r="F315" s="221"/>
    </row>
    <row r="316" spans="1:6">
      <c r="A316" s="149"/>
      <c r="B316" s="147"/>
      <c r="C316" s="146"/>
      <c r="D316" s="216"/>
      <c r="E316" s="194"/>
      <c r="F316" s="220"/>
    </row>
    <row r="317" spans="1:6">
      <c r="A317" s="129" t="s">
        <v>581</v>
      </c>
      <c r="B317" s="142"/>
      <c r="C317" s="171"/>
      <c r="D317" s="206">
        <f>SUM(D315:D316)</f>
        <v>0</v>
      </c>
      <c r="E317" s="206">
        <f>SUM(E315:E316)</f>
        <v>0</v>
      </c>
      <c r="F317" s="219">
        <f>SUM(F315:F316)</f>
        <v>0</v>
      </c>
    </row>
    <row r="318" spans="1:6" s="224" customFormat="1">
      <c r="A318" s="165" t="s">
        <v>582</v>
      </c>
      <c r="B318" s="182"/>
      <c r="C318" s="176"/>
      <c r="D318" s="177"/>
      <c r="E318" s="178"/>
      <c r="F318" s="178"/>
    </row>
    <row r="319" spans="1:6">
      <c r="A319" s="154" t="s">
        <v>583</v>
      </c>
      <c r="B319" s="182" t="s">
        <v>446</v>
      </c>
      <c r="C319" s="176" t="s">
        <v>576</v>
      </c>
      <c r="D319" s="163"/>
      <c r="E319" s="163"/>
      <c r="F319" s="154"/>
    </row>
    <row r="320" spans="1:6">
      <c r="A320" s="124" t="s">
        <v>584</v>
      </c>
      <c r="B320" s="135" t="s">
        <v>482</v>
      </c>
      <c r="C320" s="135" t="s">
        <v>439</v>
      </c>
      <c r="D320" s="105">
        <v>664000</v>
      </c>
      <c r="E320" s="342">
        <v>606000</v>
      </c>
      <c r="F320" s="124">
        <f>D320-E320</f>
        <v>58000</v>
      </c>
    </row>
    <row r="321" spans="1:6">
      <c r="A321" s="123" t="s">
        <v>585</v>
      </c>
      <c r="B321" s="121"/>
      <c r="C321" s="135" t="s">
        <v>439</v>
      </c>
      <c r="D321" s="105"/>
      <c r="E321" s="124"/>
      <c r="F321" s="124"/>
    </row>
    <row r="322" spans="1:6">
      <c r="A322" s="123" t="s">
        <v>586</v>
      </c>
      <c r="B322" s="121"/>
      <c r="C322" s="135" t="s">
        <v>439</v>
      </c>
      <c r="D322" s="105">
        <v>212000</v>
      </c>
      <c r="E322" s="124">
        <v>199000</v>
      </c>
      <c r="F322" s="124">
        <f>D322-E322</f>
        <v>13000</v>
      </c>
    </row>
    <row r="323" spans="1:6">
      <c r="A323" s="123" t="s">
        <v>587</v>
      </c>
      <c r="B323" s="121"/>
      <c r="C323" s="135" t="s">
        <v>439</v>
      </c>
      <c r="D323" s="105"/>
      <c r="E323" s="124"/>
      <c r="F323" s="124"/>
    </row>
    <row r="324" spans="1:6">
      <c r="A324" s="123" t="s">
        <v>588</v>
      </c>
      <c r="B324" s="121"/>
      <c r="C324" s="135" t="s">
        <v>439</v>
      </c>
      <c r="D324" s="105">
        <v>396000</v>
      </c>
      <c r="E324" s="124">
        <v>380000</v>
      </c>
      <c r="F324" s="124">
        <f>D324-E324</f>
        <v>16000</v>
      </c>
    </row>
    <row r="325" spans="1:6">
      <c r="A325" s="123" t="s">
        <v>589</v>
      </c>
      <c r="B325" s="121"/>
      <c r="C325" s="135" t="s">
        <v>439</v>
      </c>
      <c r="D325" s="105"/>
      <c r="E325" s="124"/>
      <c r="F325" s="124"/>
    </row>
    <row r="326" spans="1:6">
      <c r="A326" s="123" t="s">
        <v>590</v>
      </c>
      <c r="B326" s="121"/>
      <c r="C326" s="135" t="s">
        <v>439</v>
      </c>
      <c r="D326" s="105">
        <v>296000</v>
      </c>
      <c r="E326" s="124">
        <v>281000</v>
      </c>
      <c r="F326" s="124">
        <f t="shared" ref="F326:F329" si="20">D326-E326</f>
        <v>15000</v>
      </c>
    </row>
    <row r="327" spans="1:6">
      <c r="A327" s="129" t="s">
        <v>35</v>
      </c>
      <c r="B327" s="171"/>
      <c r="C327" s="225"/>
      <c r="D327" s="130">
        <f>SUM(D319:D326)</f>
        <v>1568000</v>
      </c>
      <c r="E327" s="130">
        <f>SUM(E319:E326)</f>
        <v>1466000</v>
      </c>
      <c r="F327" s="131">
        <f t="shared" si="20"/>
        <v>102000</v>
      </c>
    </row>
    <row r="328" spans="1:6">
      <c r="A328" s="226" t="s">
        <v>591</v>
      </c>
      <c r="B328" s="227" t="s">
        <v>460</v>
      </c>
      <c r="C328" s="228" t="s">
        <v>592</v>
      </c>
      <c r="D328" s="682">
        <v>25000</v>
      </c>
      <c r="E328" s="158">
        <v>25000</v>
      </c>
      <c r="F328" s="158">
        <f t="shared" si="20"/>
        <v>0</v>
      </c>
    </row>
    <row r="329" spans="1:6">
      <c r="A329" s="129" t="s">
        <v>35</v>
      </c>
      <c r="B329" s="171"/>
      <c r="C329" s="225" t="s">
        <v>90</v>
      </c>
      <c r="D329" s="162">
        <v>25000</v>
      </c>
      <c r="E329" s="143">
        <f>SUM(E328)</f>
        <v>25000</v>
      </c>
      <c r="F329" s="143">
        <f t="shared" si="20"/>
        <v>0</v>
      </c>
    </row>
    <row r="330" spans="1:6">
      <c r="A330" s="108" t="s">
        <v>593</v>
      </c>
      <c r="B330" s="176" t="s">
        <v>457</v>
      </c>
      <c r="C330" s="156" t="s">
        <v>594</v>
      </c>
      <c r="D330" s="163">
        <v>340000</v>
      </c>
      <c r="E330" s="154">
        <v>340000</v>
      </c>
      <c r="F330" s="127">
        <f>D330-E330</f>
        <v>0</v>
      </c>
    </row>
    <row r="331" spans="1:6">
      <c r="A331" s="229" t="s">
        <v>35</v>
      </c>
      <c r="B331" s="126"/>
      <c r="C331" s="230" t="s">
        <v>127</v>
      </c>
      <c r="D331" s="479">
        <v>340000</v>
      </c>
      <c r="E331" s="127">
        <f>SUM(E330)</f>
        <v>340000</v>
      </c>
      <c r="F331" s="127"/>
    </row>
    <row r="332" spans="1:6">
      <c r="A332" s="676" t="s">
        <v>595</v>
      </c>
      <c r="B332" s="171"/>
      <c r="C332" s="171"/>
      <c r="D332" s="130">
        <f>D327+D329+D331</f>
        <v>1933000</v>
      </c>
      <c r="E332" s="130">
        <f>E327+E329+E331</f>
        <v>1831000</v>
      </c>
      <c r="F332" s="130">
        <f t="shared" ref="F332" si="21">F327+F329+F331</f>
        <v>102000</v>
      </c>
    </row>
    <row r="333" spans="1:6">
      <c r="A333" s="129" t="s">
        <v>596</v>
      </c>
      <c r="B333" s="171"/>
      <c r="C333" s="171"/>
      <c r="D333" s="130">
        <f>D15+D22+D81+D130+D250+D300+D313+D327+D329+D331</f>
        <v>38905555</v>
      </c>
      <c r="E333" s="130">
        <f>E15+E22+E81+E130+E250+E300+E313+E327+E329+E331</f>
        <v>34366677.769999996</v>
      </c>
      <c r="F333" s="131">
        <f>D333-E333</f>
        <v>4538877.2300000042</v>
      </c>
    </row>
    <row r="334" spans="1:6">
      <c r="A334" s="132" t="s">
        <v>597</v>
      </c>
      <c r="B334" s="135"/>
      <c r="C334" s="176"/>
      <c r="D334" s="157"/>
      <c r="E334" s="154"/>
      <c r="F334" s="154"/>
    </row>
    <row r="335" spans="1:6">
      <c r="A335" s="165" t="s">
        <v>598</v>
      </c>
      <c r="B335" s="135" t="s">
        <v>409</v>
      </c>
      <c r="C335" s="136" t="s">
        <v>547</v>
      </c>
      <c r="D335" s="157"/>
      <c r="E335" s="154"/>
      <c r="F335" s="154"/>
    </row>
    <row r="336" spans="1:6">
      <c r="A336" s="123" t="s">
        <v>896</v>
      </c>
      <c r="B336" s="135"/>
      <c r="C336" s="135" t="s">
        <v>445</v>
      </c>
      <c r="D336" s="105">
        <v>6500</v>
      </c>
      <c r="E336" s="124">
        <v>6500</v>
      </c>
      <c r="F336" s="124">
        <f>D336-E336</f>
        <v>0</v>
      </c>
    </row>
    <row r="337" spans="1:6">
      <c r="A337" s="123" t="s">
        <v>897</v>
      </c>
      <c r="B337" s="135"/>
      <c r="C337" s="135" t="s">
        <v>445</v>
      </c>
      <c r="D337" s="105">
        <v>18000</v>
      </c>
      <c r="E337" s="124">
        <v>18000</v>
      </c>
      <c r="F337" s="124">
        <f>D337-E337</f>
        <v>0</v>
      </c>
    </row>
    <row r="338" spans="1:6">
      <c r="A338" s="123" t="s">
        <v>898</v>
      </c>
      <c r="B338" s="135"/>
      <c r="C338" s="135" t="s">
        <v>445</v>
      </c>
      <c r="D338" s="105">
        <v>5000</v>
      </c>
      <c r="E338" s="124">
        <v>5000</v>
      </c>
      <c r="F338" s="124">
        <f t="shared" ref="F338:F345" si="22">D338-E338</f>
        <v>0</v>
      </c>
    </row>
    <row r="339" spans="1:6">
      <c r="A339" s="123" t="s">
        <v>899</v>
      </c>
      <c r="B339" s="135"/>
      <c r="C339" s="135" t="s">
        <v>445</v>
      </c>
      <c r="D339" s="105">
        <v>5900</v>
      </c>
      <c r="E339" s="124">
        <v>5900</v>
      </c>
      <c r="F339" s="124">
        <f t="shared" si="22"/>
        <v>0</v>
      </c>
    </row>
    <row r="340" spans="1:6">
      <c r="A340" s="123" t="s">
        <v>900</v>
      </c>
      <c r="B340" s="135"/>
      <c r="C340" s="135" t="s">
        <v>445</v>
      </c>
      <c r="D340" s="105">
        <v>6600</v>
      </c>
      <c r="E340" s="124">
        <v>6600</v>
      </c>
      <c r="F340" s="124">
        <f t="shared" si="22"/>
        <v>0</v>
      </c>
    </row>
    <row r="341" spans="1:6">
      <c r="A341" s="129" t="s">
        <v>35</v>
      </c>
      <c r="B341" s="142"/>
      <c r="C341" s="151"/>
      <c r="D341" s="152">
        <f>SUM(D336:D340)</f>
        <v>42000</v>
      </c>
      <c r="E341" s="152">
        <f>SUM(E336:E340)</f>
        <v>42000</v>
      </c>
      <c r="F341" s="143">
        <f t="shared" si="22"/>
        <v>0</v>
      </c>
    </row>
    <row r="342" spans="1:6">
      <c r="A342" s="165" t="s">
        <v>598</v>
      </c>
      <c r="B342" s="182" t="s">
        <v>599</v>
      </c>
      <c r="C342" s="156" t="s">
        <v>600</v>
      </c>
      <c r="D342" s="157"/>
      <c r="E342" s="154"/>
      <c r="F342" s="154">
        <f t="shared" si="22"/>
        <v>0</v>
      </c>
    </row>
    <row r="343" spans="1:6">
      <c r="A343" s="123" t="s">
        <v>601</v>
      </c>
      <c r="B343" s="135"/>
      <c r="C343" s="135" t="s">
        <v>445</v>
      </c>
      <c r="D343" s="105">
        <v>11000</v>
      </c>
      <c r="E343" s="124">
        <v>11000</v>
      </c>
      <c r="F343" s="124">
        <f t="shared" si="22"/>
        <v>0</v>
      </c>
    </row>
    <row r="344" spans="1:6">
      <c r="A344" s="166"/>
      <c r="B344" s="147"/>
      <c r="C344" s="135"/>
      <c r="D344" s="148"/>
      <c r="E344" s="149"/>
      <c r="F344" s="149"/>
    </row>
    <row r="345" spans="1:6">
      <c r="A345" s="129" t="s">
        <v>35</v>
      </c>
      <c r="B345" s="142"/>
      <c r="C345" s="142"/>
      <c r="D345" s="152">
        <f>SUM(D343:D344)</f>
        <v>11000</v>
      </c>
      <c r="E345" s="152">
        <f>SUM(E343:E344)</f>
        <v>11000</v>
      </c>
      <c r="F345" s="143">
        <f t="shared" si="22"/>
        <v>0</v>
      </c>
    </row>
    <row r="346" spans="1:6">
      <c r="A346" s="165" t="s">
        <v>598</v>
      </c>
      <c r="B346" s="182"/>
      <c r="C346" s="182"/>
      <c r="D346" s="157"/>
      <c r="E346" s="157"/>
      <c r="F346" s="154"/>
    </row>
    <row r="347" spans="1:6">
      <c r="A347" s="172" t="s">
        <v>1020</v>
      </c>
      <c r="B347" s="135" t="s">
        <v>443</v>
      </c>
      <c r="C347" s="135" t="s">
        <v>1021</v>
      </c>
      <c r="D347" s="105">
        <v>11000</v>
      </c>
      <c r="E347" s="124">
        <v>11000</v>
      </c>
      <c r="F347" s="124">
        <f>D347-E347</f>
        <v>0</v>
      </c>
    </row>
    <row r="348" spans="1:6">
      <c r="A348" s="166"/>
      <c r="B348" s="147"/>
      <c r="C348" s="231" t="s">
        <v>602</v>
      </c>
      <c r="D348" s="148"/>
      <c r="E348" s="149"/>
      <c r="F348" s="149"/>
    </row>
    <row r="349" spans="1:6">
      <c r="A349" s="129" t="s">
        <v>35</v>
      </c>
      <c r="B349" s="142"/>
      <c r="C349" s="225"/>
      <c r="D349" s="130">
        <f>SUM(D347:D348)</f>
        <v>11000</v>
      </c>
      <c r="E349" s="143">
        <f>SUM(E347:E348)</f>
        <v>11000</v>
      </c>
      <c r="F349" s="143">
        <f>D349-E349</f>
        <v>0</v>
      </c>
    </row>
    <row r="350" spans="1:6">
      <c r="A350" s="165" t="s">
        <v>598</v>
      </c>
      <c r="B350" s="182"/>
      <c r="C350" s="182"/>
      <c r="D350" s="157"/>
      <c r="E350" s="157"/>
      <c r="F350" s="154"/>
    </row>
    <row r="351" spans="1:6">
      <c r="A351" s="166" t="s">
        <v>1019</v>
      </c>
      <c r="B351" s="135" t="s">
        <v>901</v>
      </c>
      <c r="C351" s="135" t="s">
        <v>566</v>
      </c>
      <c r="D351" s="105">
        <v>7000</v>
      </c>
      <c r="E351" s="124">
        <v>7000</v>
      </c>
      <c r="F351" s="124">
        <f>D351-E351</f>
        <v>0</v>
      </c>
    </row>
    <row r="352" spans="1:6">
      <c r="A352" s="166" t="s">
        <v>903</v>
      </c>
      <c r="B352" s="147"/>
      <c r="C352" s="231" t="s">
        <v>602</v>
      </c>
      <c r="D352" s="148">
        <v>4000</v>
      </c>
      <c r="E352" s="149">
        <v>4000</v>
      </c>
      <c r="F352" s="149">
        <f>D352-E352</f>
        <v>0</v>
      </c>
    </row>
    <row r="353" spans="1:6">
      <c r="A353" s="129" t="s">
        <v>35</v>
      </c>
      <c r="B353" s="142"/>
      <c r="C353" s="225"/>
      <c r="D353" s="130">
        <f>SUM(D351:D352)</f>
        <v>11000</v>
      </c>
      <c r="E353" s="143">
        <f>SUM(E351:E352)</f>
        <v>11000</v>
      </c>
      <c r="F353" s="143">
        <f>D353-E353</f>
        <v>0</v>
      </c>
    </row>
    <row r="354" spans="1:6">
      <c r="A354" s="165" t="s">
        <v>598</v>
      </c>
      <c r="B354" s="182"/>
      <c r="C354" s="182"/>
      <c r="D354" s="157"/>
      <c r="E354" s="157"/>
      <c r="F354" s="154"/>
    </row>
    <row r="355" spans="1:6">
      <c r="A355" s="172" t="s">
        <v>902</v>
      </c>
      <c r="B355" s="144" t="s">
        <v>446</v>
      </c>
      <c r="C355" s="207" t="s">
        <v>447</v>
      </c>
      <c r="D355" s="119">
        <v>4000</v>
      </c>
      <c r="E355" s="120">
        <v>4000</v>
      </c>
      <c r="F355" s="120">
        <f>D355-E355</f>
        <v>0</v>
      </c>
    </row>
    <row r="356" spans="1:6">
      <c r="A356" s="166" t="s">
        <v>903</v>
      </c>
      <c r="B356" s="147" t="s">
        <v>512</v>
      </c>
      <c r="C356" s="231" t="s">
        <v>602</v>
      </c>
      <c r="D356" s="148">
        <v>2500</v>
      </c>
      <c r="E356" s="149">
        <v>2500</v>
      </c>
      <c r="F356" s="149">
        <f>D356-E356</f>
        <v>0</v>
      </c>
    </row>
    <row r="357" spans="1:6">
      <c r="A357" s="129" t="s">
        <v>35</v>
      </c>
      <c r="B357" s="142"/>
      <c r="C357" s="225"/>
      <c r="D357" s="130">
        <f>SUM(D355:D356)</f>
        <v>6500</v>
      </c>
      <c r="E357" s="143">
        <f>SUM(E355:E356)</f>
        <v>6500</v>
      </c>
      <c r="F357" s="143">
        <f>D357-E357</f>
        <v>0</v>
      </c>
    </row>
    <row r="358" spans="1:6">
      <c r="A358" s="165" t="s">
        <v>598</v>
      </c>
      <c r="B358" s="182"/>
      <c r="C358" s="182"/>
      <c r="D358" s="157"/>
      <c r="E358" s="157"/>
      <c r="F358" s="154"/>
    </row>
    <row r="359" spans="1:6">
      <c r="A359" s="172" t="s">
        <v>1016</v>
      </c>
      <c r="B359" s="144" t="s">
        <v>446</v>
      </c>
      <c r="C359" s="207" t="s">
        <v>576</v>
      </c>
      <c r="D359" s="119">
        <v>32000</v>
      </c>
      <c r="E359" s="120">
        <v>32000</v>
      </c>
      <c r="F359" s="120">
        <f>D359-E359</f>
        <v>0</v>
      </c>
    </row>
    <row r="360" spans="1:6">
      <c r="A360" s="166"/>
      <c r="B360" s="147" t="s">
        <v>512</v>
      </c>
      <c r="C360" s="231" t="s">
        <v>602</v>
      </c>
      <c r="D360" s="148"/>
      <c r="E360" s="149"/>
      <c r="F360" s="149"/>
    </row>
    <row r="361" spans="1:6">
      <c r="A361" s="129" t="s">
        <v>35</v>
      </c>
      <c r="B361" s="142"/>
      <c r="C361" s="225"/>
      <c r="D361" s="130">
        <f>SUM(D359:D360)</f>
        <v>32000</v>
      </c>
      <c r="E361" s="143">
        <f>SUM(E359:E360)</f>
        <v>32000</v>
      </c>
      <c r="F361" s="143">
        <f>D361-E361</f>
        <v>0</v>
      </c>
    </row>
    <row r="362" spans="1:6">
      <c r="A362" s="165" t="s">
        <v>598</v>
      </c>
      <c r="B362" s="182"/>
      <c r="C362" s="182"/>
      <c r="D362" s="157"/>
      <c r="E362" s="157"/>
      <c r="F362" s="154"/>
    </row>
    <row r="363" spans="1:6">
      <c r="A363" s="123" t="s">
        <v>1017</v>
      </c>
      <c r="B363" s="124" t="s">
        <v>603</v>
      </c>
      <c r="C363" s="136" t="s">
        <v>604</v>
      </c>
      <c r="D363" s="105">
        <v>2500</v>
      </c>
      <c r="E363" s="124">
        <v>2500</v>
      </c>
      <c r="F363" s="124">
        <f t="shared" ref="F363:F366" si="23">D363-E363</f>
        <v>0</v>
      </c>
    </row>
    <row r="364" spans="1:6">
      <c r="A364" s="123" t="s">
        <v>1018</v>
      </c>
      <c r="B364" s="136"/>
      <c r="C364" s="135" t="s">
        <v>445</v>
      </c>
      <c r="D364" s="105">
        <v>4500</v>
      </c>
      <c r="E364" s="124">
        <v>4500</v>
      </c>
      <c r="F364" s="124">
        <f t="shared" si="23"/>
        <v>0</v>
      </c>
    </row>
    <row r="365" spans="1:6">
      <c r="A365" s="166"/>
      <c r="B365" s="231"/>
      <c r="C365" s="147"/>
      <c r="D365" s="148"/>
      <c r="E365" s="149"/>
      <c r="F365" s="149"/>
    </row>
    <row r="366" spans="1:6">
      <c r="A366" s="129" t="s">
        <v>35</v>
      </c>
      <c r="B366" s="201"/>
      <c r="C366" s="336"/>
      <c r="D366" s="130">
        <f>SUM(D363:D365)</f>
        <v>7000</v>
      </c>
      <c r="E366" s="130">
        <f>SUM(E363:E365)</f>
        <v>7000</v>
      </c>
      <c r="F366" s="131">
        <f t="shared" si="23"/>
        <v>0</v>
      </c>
    </row>
    <row r="367" spans="1:6">
      <c r="A367" s="165" t="s">
        <v>598</v>
      </c>
      <c r="B367" s="135"/>
      <c r="C367" s="136"/>
      <c r="D367" s="119"/>
      <c r="E367" s="119"/>
      <c r="F367" s="120"/>
    </row>
    <row r="368" spans="1:6">
      <c r="A368" s="172" t="s">
        <v>1023</v>
      </c>
      <c r="B368" s="135" t="s">
        <v>610</v>
      </c>
      <c r="C368" s="136" t="s">
        <v>1025</v>
      </c>
      <c r="D368" s="105">
        <v>5500</v>
      </c>
      <c r="E368" s="124">
        <v>5500</v>
      </c>
      <c r="F368" s="124">
        <f>D368-E368</f>
        <v>0</v>
      </c>
    </row>
    <row r="369" spans="1:6">
      <c r="A369" s="172" t="s">
        <v>1024</v>
      </c>
      <c r="B369" s="138"/>
      <c r="C369" s="230"/>
      <c r="D369" s="106">
        <v>2500</v>
      </c>
      <c r="E369" s="127">
        <v>2500</v>
      </c>
      <c r="F369" s="127"/>
    </row>
    <row r="370" spans="1:6">
      <c r="A370" s="129" t="s">
        <v>35</v>
      </c>
      <c r="B370" s="142"/>
      <c r="C370" s="225"/>
      <c r="D370" s="130">
        <f>SUM(D368:D369)</f>
        <v>8000</v>
      </c>
      <c r="E370" s="131">
        <f>SUM(E368:E369)</f>
        <v>8000</v>
      </c>
      <c r="F370" s="143">
        <f>D370-E370</f>
        <v>0</v>
      </c>
    </row>
    <row r="371" spans="1:6">
      <c r="A371" s="132" t="s">
        <v>605</v>
      </c>
      <c r="B371" s="135"/>
      <c r="C371" s="136"/>
      <c r="D371" s="119"/>
      <c r="E371" s="119"/>
      <c r="F371" s="120"/>
    </row>
    <row r="372" spans="1:6">
      <c r="A372" s="123" t="s">
        <v>904</v>
      </c>
      <c r="B372" s="135" t="s">
        <v>409</v>
      </c>
      <c r="C372" s="136" t="s">
        <v>547</v>
      </c>
      <c r="D372" s="105">
        <v>4300</v>
      </c>
      <c r="E372" s="124">
        <v>4300</v>
      </c>
      <c r="F372" s="124">
        <f>D372-E372</f>
        <v>0</v>
      </c>
    </row>
    <row r="373" spans="1:6">
      <c r="A373" s="189"/>
      <c r="B373" s="138"/>
      <c r="C373" s="230"/>
      <c r="D373" s="106"/>
      <c r="E373" s="127"/>
      <c r="F373" s="127"/>
    </row>
    <row r="374" spans="1:6">
      <c r="A374" s="129" t="s">
        <v>35</v>
      </c>
      <c r="B374" s="142"/>
      <c r="C374" s="225"/>
      <c r="D374" s="130">
        <f>SUM(D372:D373)</f>
        <v>4300</v>
      </c>
      <c r="E374" s="143">
        <f>SUM(E372:E373)</f>
        <v>4300</v>
      </c>
      <c r="F374" s="143">
        <f>D374-E374</f>
        <v>0</v>
      </c>
    </row>
    <row r="375" spans="1:6">
      <c r="A375" s="132" t="s">
        <v>605</v>
      </c>
      <c r="B375" s="144"/>
      <c r="C375" s="144"/>
      <c r="D375" s="119"/>
      <c r="E375" s="119"/>
      <c r="F375" s="120"/>
    </row>
    <row r="376" spans="1:6">
      <c r="A376" s="123" t="s">
        <v>1022</v>
      </c>
      <c r="B376" s="135" t="s">
        <v>443</v>
      </c>
      <c r="C376" s="136" t="s">
        <v>606</v>
      </c>
      <c r="D376" s="105">
        <f>21000+1000</f>
        <v>22000</v>
      </c>
      <c r="E376" s="124">
        <v>22000</v>
      </c>
      <c r="F376" s="124">
        <f>D376-E376</f>
        <v>0</v>
      </c>
    </row>
    <row r="377" spans="1:6">
      <c r="A377" s="189" t="s">
        <v>1052</v>
      </c>
      <c r="B377" s="138" t="s">
        <v>443</v>
      </c>
      <c r="C377" s="138" t="s">
        <v>445</v>
      </c>
      <c r="D377" s="106">
        <v>7500</v>
      </c>
      <c r="E377" s="127">
        <v>7500</v>
      </c>
      <c r="F377" s="127">
        <f>D377-E377</f>
        <v>0</v>
      </c>
    </row>
    <row r="378" spans="1:6">
      <c r="A378" s="129" t="s">
        <v>35</v>
      </c>
      <c r="B378" s="142"/>
      <c r="C378" s="225"/>
      <c r="D378" s="130">
        <f>SUM(D376:D377)</f>
        <v>29500</v>
      </c>
      <c r="E378" s="143">
        <f>SUM(E376:E377)</f>
        <v>29500</v>
      </c>
      <c r="F378" s="143">
        <f>D378-E378</f>
        <v>0</v>
      </c>
    </row>
    <row r="379" spans="1:6">
      <c r="A379" s="132" t="s">
        <v>605</v>
      </c>
      <c r="B379" s="144"/>
      <c r="C379" s="144"/>
      <c r="D379" s="119"/>
      <c r="E379" s="119"/>
      <c r="F379" s="120"/>
    </row>
    <row r="380" spans="1:6">
      <c r="A380" s="123" t="s">
        <v>905</v>
      </c>
      <c r="B380" s="135" t="s">
        <v>901</v>
      </c>
      <c r="C380" s="135" t="s">
        <v>566</v>
      </c>
      <c r="D380" s="105">
        <f>16000+1000</f>
        <v>17000</v>
      </c>
      <c r="E380" s="124">
        <v>17000</v>
      </c>
      <c r="F380" s="124">
        <f>D380-E380</f>
        <v>0</v>
      </c>
    </row>
    <row r="381" spans="1:6">
      <c r="A381" s="123" t="s">
        <v>906</v>
      </c>
      <c r="B381" s="135"/>
      <c r="C381" s="135" t="s">
        <v>445</v>
      </c>
      <c r="D381" s="105">
        <v>2500</v>
      </c>
      <c r="E381" s="124">
        <v>2500</v>
      </c>
      <c r="F381" s="124">
        <f>D381-E381</f>
        <v>0</v>
      </c>
    </row>
    <row r="382" spans="1:6">
      <c r="A382" s="123" t="s">
        <v>907</v>
      </c>
      <c r="B382" s="135"/>
      <c r="C382" s="135" t="s">
        <v>445</v>
      </c>
      <c r="D382" s="105">
        <v>4300</v>
      </c>
      <c r="E382" s="124">
        <v>4300</v>
      </c>
      <c r="F382" s="124">
        <f>D382-E382</f>
        <v>0</v>
      </c>
    </row>
    <row r="383" spans="1:6">
      <c r="A383" s="129" t="s">
        <v>35</v>
      </c>
      <c r="B383" s="142"/>
      <c r="C383" s="225"/>
      <c r="D383" s="130">
        <f>SUM(D380:D382)</f>
        <v>23800</v>
      </c>
      <c r="E383" s="130">
        <f>SUM(E380:E382)</f>
        <v>23800</v>
      </c>
      <c r="F383" s="130">
        <f>SUM(F380:F382)</f>
        <v>0</v>
      </c>
    </row>
    <row r="384" spans="1:6">
      <c r="A384" s="132" t="s">
        <v>605</v>
      </c>
      <c r="B384" s="144"/>
      <c r="C384" s="144"/>
      <c r="D384" s="119"/>
      <c r="E384" s="119"/>
      <c r="F384" s="120"/>
    </row>
    <row r="385" spans="1:6">
      <c r="A385" s="166" t="s">
        <v>1296</v>
      </c>
      <c r="B385" s="147" t="s">
        <v>901</v>
      </c>
      <c r="C385" s="135" t="s">
        <v>1297</v>
      </c>
      <c r="D385" s="106">
        <v>3500</v>
      </c>
      <c r="E385" s="127">
        <v>3500</v>
      </c>
      <c r="F385" s="124">
        <f>D385-E385</f>
        <v>0</v>
      </c>
    </row>
    <row r="386" spans="1:6">
      <c r="A386" s="129" t="s">
        <v>35</v>
      </c>
      <c r="B386" s="142"/>
      <c r="C386" s="464"/>
      <c r="D386" s="157">
        <v>3500</v>
      </c>
      <c r="E386" s="154">
        <v>3500</v>
      </c>
      <c r="F386" s="327"/>
    </row>
    <row r="387" spans="1:6">
      <c r="A387" s="117" t="s">
        <v>1063</v>
      </c>
      <c r="B387" s="144"/>
      <c r="C387" s="144"/>
      <c r="D387" s="119"/>
      <c r="E387" s="119"/>
      <c r="F387" s="120"/>
    </row>
    <row r="388" spans="1:6">
      <c r="A388" s="468" t="s">
        <v>1064</v>
      </c>
      <c r="B388" s="138" t="s">
        <v>446</v>
      </c>
      <c r="C388" s="230" t="s">
        <v>576</v>
      </c>
      <c r="D388" s="675">
        <v>0</v>
      </c>
      <c r="E388" s="106">
        <v>29900</v>
      </c>
      <c r="F388" s="127">
        <f>D388-E388</f>
        <v>-29900</v>
      </c>
    </row>
    <row r="389" spans="1:6">
      <c r="A389" s="129" t="s">
        <v>35</v>
      </c>
      <c r="B389" s="201"/>
      <c r="C389" s="335"/>
      <c r="D389" s="130">
        <f>SUM(D387:D388)</f>
        <v>0</v>
      </c>
      <c r="E389" s="130">
        <f t="shared" ref="E389" si="24">SUM(E387:E388)</f>
        <v>29900</v>
      </c>
      <c r="F389" s="130">
        <f t="shared" ref="F389" si="25">SUM(F387:F388)</f>
        <v>-29900</v>
      </c>
    </row>
    <row r="390" spans="1:6">
      <c r="A390" s="117" t="s">
        <v>29</v>
      </c>
      <c r="B390" s="135"/>
      <c r="C390" s="144"/>
      <c r="D390" s="119"/>
      <c r="E390" s="119"/>
      <c r="F390" s="120"/>
    </row>
    <row r="391" spans="1:6">
      <c r="A391" s="166" t="s">
        <v>908</v>
      </c>
      <c r="B391" s="147" t="s">
        <v>409</v>
      </c>
      <c r="C391" s="228" t="s">
        <v>497</v>
      </c>
      <c r="D391" s="148">
        <v>7500</v>
      </c>
      <c r="E391" s="148">
        <v>7500</v>
      </c>
      <c r="F391" s="149">
        <f>D391-E391</f>
        <v>0</v>
      </c>
    </row>
    <row r="392" spans="1:6">
      <c r="A392" s="129" t="s">
        <v>35</v>
      </c>
      <c r="B392" s="201"/>
      <c r="C392" s="335"/>
      <c r="D392" s="130">
        <f>SUM(D390:D391)</f>
        <v>7500</v>
      </c>
      <c r="E392" s="130">
        <f t="shared" ref="E392:F392" si="26">SUM(E390:E391)</f>
        <v>7500</v>
      </c>
      <c r="F392" s="130">
        <f t="shared" si="26"/>
        <v>0</v>
      </c>
    </row>
    <row r="393" spans="1:6">
      <c r="A393" s="676" t="s">
        <v>607</v>
      </c>
      <c r="B393" s="171"/>
      <c r="C393" s="171"/>
      <c r="D393" s="130">
        <f>D341+D345+D349+D353+D357+D361+D366+D370+D374+D378+D383+D386+D389+D392</f>
        <v>197100</v>
      </c>
      <c r="E393" s="130">
        <f>E341+E345+E349+E353+E357+E361+E366+E370+E374+E378+E383+E386+E389+E392</f>
        <v>227000</v>
      </c>
      <c r="F393" s="130">
        <f>F341+F345+F349+F353+F357+F361+F366+F370+F374+F378+F383+F392</f>
        <v>0</v>
      </c>
    </row>
    <row r="394" spans="1:6">
      <c r="A394" s="233" t="s">
        <v>224</v>
      </c>
      <c r="B394" s="176"/>
      <c r="C394" s="176"/>
      <c r="D394" s="177"/>
      <c r="E394" s="178"/>
      <c r="F394" s="178"/>
    </row>
    <row r="395" spans="1:6">
      <c r="A395" s="337" t="s">
        <v>609</v>
      </c>
      <c r="B395" s="135" t="s">
        <v>443</v>
      </c>
      <c r="C395" s="228" t="s">
        <v>608</v>
      </c>
      <c r="D395" s="683">
        <v>100000</v>
      </c>
      <c r="E395" s="163">
        <v>97700</v>
      </c>
      <c r="F395" s="212">
        <f>D395-E395</f>
        <v>2300</v>
      </c>
    </row>
    <row r="396" spans="1:6">
      <c r="A396" s="337" t="s">
        <v>1026</v>
      </c>
      <c r="B396" s="135"/>
      <c r="C396" s="135" t="s">
        <v>445</v>
      </c>
      <c r="D396" s="683">
        <v>100000</v>
      </c>
      <c r="E396" s="163">
        <v>100000</v>
      </c>
      <c r="F396" s="212">
        <f t="shared" ref="F396:F418" si="27">D396-E396</f>
        <v>0</v>
      </c>
    </row>
    <row r="397" spans="1:6">
      <c r="A397" s="337" t="s">
        <v>1027</v>
      </c>
      <c r="B397" s="135"/>
      <c r="C397" s="135" t="s">
        <v>445</v>
      </c>
      <c r="D397" s="683">
        <v>100000</v>
      </c>
      <c r="E397" s="163">
        <v>100000</v>
      </c>
      <c r="F397" s="212">
        <f t="shared" si="27"/>
        <v>0</v>
      </c>
    </row>
    <row r="398" spans="1:6">
      <c r="A398" s="337" t="s">
        <v>1028</v>
      </c>
      <c r="B398" s="183"/>
      <c r="C398" s="135" t="s">
        <v>445</v>
      </c>
      <c r="D398" s="683">
        <v>100000</v>
      </c>
      <c r="E398" s="357">
        <v>90600</v>
      </c>
      <c r="F398" s="212">
        <f t="shared" si="27"/>
        <v>9400</v>
      </c>
    </row>
    <row r="399" spans="1:6">
      <c r="A399" s="337" t="s">
        <v>1058</v>
      </c>
      <c r="B399" s="234"/>
      <c r="C399" s="135" t="s">
        <v>445</v>
      </c>
      <c r="D399" s="683">
        <v>100000</v>
      </c>
      <c r="E399" s="357">
        <v>100000</v>
      </c>
      <c r="F399" s="212">
        <f t="shared" si="27"/>
        <v>0</v>
      </c>
    </row>
    <row r="400" spans="1:6">
      <c r="A400" s="337" t="s">
        <v>1029</v>
      </c>
      <c r="B400" s="192"/>
      <c r="C400" s="135" t="s">
        <v>445</v>
      </c>
      <c r="D400" s="683">
        <v>100000</v>
      </c>
      <c r="E400" s="357">
        <v>93000</v>
      </c>
      <c r="F400" s="212">
        <f t="shared" si="27"/>
        <v>7000</v>
      </c>
    </row>
    <row r="401" spans="1:6">
      <c r="A401" s="337" t="s">
        <v>1030</v>
      </c>
      <c r="B401" s="192"/>
      <c r="C401" s="135" t="s">
        <v>445</v>
      </c>
      <c r="D401" s="683">
        <v>93000</v>
      </c>
      <c r="E401" s="357">
        <v>72000</v>
      </c>
      <c r="F401" s="212">
        <f t="shared" si="27"/>
        <v>21000</v>
      </c>
    </row>
    <row r="402" spans="1:6">
      <c r="A402" s="337" t="s">
        <v>1059</v>
      </c>
      <c r="B402" s="192"/>
      <c r="C402" s="135" t="s">
        <v>445</v>
      </c>
      <c r="D402" s="683">
        <v>100000</v>
      </c>
      <c r="E402" s="357">
        <v>93600</v>
      </c>
      <c r="F402" s="212">
        <f t="shared" si="27"/>
        <v>6400</v>
      </c>
    </row>
    <row r="403" spans="1:6">
      <c r="A403" s="337" t="s">
        <v>1031</v>
      </c>
      <c r="B403" s="192"/>
      <c r="C403" s="135" t="s">
        <v>445</v>
      </c>
      <c r="D403" s="683">
        <v>100000</v>
      </c>
      <c r="E403" s="357">
        <v>98200</v>
      </c>
      <c r="F403" s="212">
        <f t="shared" si="27"/>
        <v>1800</v>
      </c>
    </row>
    <row r="404" spans="1:6">
      <c r="A404" s="337" t="s">
        <v>1060</v>
      </c>
      <c r="B404" s="192"/>
      <c r="C404" s="135" t="s">
        <v>445</v>
      </c>
      <c r="D404" s="683">
        <v>50000</v>
      </c>
      <c r="E404" s="357">
        <v>45500</v>
      </c>
      <c r="F404" s="212">
        <f t="shared" si="27"/>
        <v>4500</v>
      </c>
    </row>
    <row r="405" spans="1:6">
      <c r="A405" s="337" t="s">
        <v>1032</v>
      </c>
      <c r="B405" s="192"/>
      <c r="C405" s="135" t="s">
        <v>445</v>
      </c>
      <c r="D405" s="683">
        <v>50000</v>
      </c>
      <c r="E405" s="357">
        <v>33000</v>
      </c>
      <c r="F405" s="212">
        <f t="shared" si="27"/>
        <v>17000</v>
      </c>
    </row>
    <row r="406" spans="1:6">
      <c r="A406" s="337" t="s">
        <v>1033</v>
      </c>
      <c r="B406" s="192"/>
      <c r="C406" s="135" t="s">
        <v>445</v>
      </c>
      <c r="D406" s="683">
        <v>100000</v>
      </c>
      <c r="E406" s="357">
        <v>97300</v>
      </c>
      <c r="F406" s="212">
        <f t="shared" si="27"/>
        <v>2700</v>
      </c>
    </row>
    <row r="407" spans="1:6">
      <c r="A407" s="337" t="s">
        <v>1034</v>
      </c>
      <c r="B407" s="192"/>
      <c r="C407" s="135" t="s">
        <v>445</v>
      </c>
      <c r="D407" s="683">
        <v>80000</v>
      </c>
      <c r="E407" s="357">
        <v>75600</v>
      </c>
      <c r="F407" s="212">
        <f t="shared" si="27"/>
        <v>4400</v>
      </c>
    </row>
    <row r="408" spans="1:6">
      <c r="A408" s="337" t="s">
        <v>1035</v>
      </c>
      <c r="B408" s="192"/>
      <c r="C408" s="135" t="s">
        <v>445</v>
      </c>
      <c r="D408" s="683">
        <v>100000</v>
      </c>
      <c r="E408" s="357">
        <v>92500</v>
      </c>
      <c r="F408" s="212">
        <f t="shared" si="27"/>
        <v>7500</v>
      </c>
    </row>
    <row r="409" spans="1:6">
      <c r="A409" s="337" t="s">
        <v>1036</v>
      </c>
      <c r="B409" s="192"/>
      <c r="C409" s="135" t="s">
        <v>445</v>
      </c>
      <c r="D409" s="683">
        <v>100000</v>
      </c>
      <c r="E409" s="357">
        <v>100000</v>
      </c>
      <c r="F409" s="212">
        <f t="shared" si="27"/>
        <v>0</v>
      </c>
    </row>
    <row r="410" spans="1:6">
      <c r="A410" s="337" t="s">
        <v>1037</v>
      </c>
      <c r="B410" s="192"/>
      <c r="C410" s="135" t="s">
        <v>445</v>
      </c>
      <c r="D410" s="683">
        <v>100000</v>
      </c>
      <c r="E410" s="357">
        <v>95600</v>
      </c>
      <c r="F410" s="212">
        <f t="shared" si="27"/>
        <v>4400</v>
      </c>
    </row>
    <row r="411" spans="1:6">
      <c r="A411" s="337" t="s">
        <v>1038</v>
      </c>
      <c r="B411" s="192"/>
      <c r="C411" s="135" t="s">
        <v>445</v>
      </c>
      <c r="D411" s="683">
        <v>70000</v>
      </c>
      <c r="E411" s="357">
        <v>69400</v>
      </c>
      <c r="F411" s="212">
        <f t="shared" si="27"/>
        <v>600</v>
      </c>
    </row>
    <row r="412" spans="1:6">
      <c r="A412" s="337" t="s">
        <v>1039</v>
      </c>
      <c r="B412" s="192"/>
      <c r="C412" s="135" t="s">
        <v>445</v>
      </c>
      <c r="D412" s="683">
        <v>313000</v>
      </c>
      <c r="E412" s="357">
        <v>312000</v>
      </c>
      <c r="F412" s="212">
        <f t="shared" si="27"/>
        <v>1000</v>
      </c>
    </row>
    <row r="413" spans="1:6">
      <c r="A413" s="337" t="s">
        <v>1040</v>
      </c>
      <c r="B413" s="192"/>
      <c r="C413" s="135" t="s">
        <v>445</v>
      </c>
      <c r="D413" s="683">
        <v>196645</v>
      </c>
      <c r="E413" s="357">
        <v>0</v>
      </c>
      <c r="F413" s="212">
        <f t="shared" si="27"/>
        <v>196645</v>
      </c>
    </row>
    <row r="414" spans="1:6">
      <c r="A414" s="337" t="s">
        <v>1041</v>
      </c>
      <c r="B414" s="192"/>
      <c r="C414" s="135" t="s">
        <v>445</v>
      </c>
      <c r="D414" s="683">
        <v>40000</v>
      </c>
      <c r="E414" s="357">
        <v>40000</v>
      </c>
      <c r="F414" s="212">
        <f t="shared" si="27"/>
        <v>0</v>
      </c>
    </row>
    <row r="415" spans="1:6">
      <c r="A415" s="337" t="s">
        <v>1042</v>
      </c>
      <c r="B415" s="192"/>
      <c r="C415" s="135" t="s">
        <v>445</v>
      </c>
      <c r="D415" s="683">
        <v>43900</v>
      </c>
      <c r="E415" s="357">
        <v>0</v>
      </c>
      <c r="F415" s="212">
        <f t="shared" si="27"/>
        <v>43900</v>
      </c>
    </row>
    <row r="416" spans="1:6">
      <c r="A416" s="337" t="s">
        <v>1055</v>
      </c>
      <c r="B416" s="192"/>
      <c r="C416" s="135" t="s">
        <v>445</v>
      </c>
      <c r="D416" s="683">
        <v>200000</v>
      </c>
      <c r="E416" s="357">
        <v>200000</v>
      </c>
      <c r="F416" s="212">
        <f t="shared" si="27"/>
        <v>0</v>
      </c>
    </row>
    <row r="417" spans="1:6">
      <c r="A417" s="337" t="s">
        <v>1054</v>
      </c>
      <c r="B417" s="192"/>
      <c r="C417" s="135" t="s">
        <v>445</v>
      </c>
      <c r="D417" s="683">
        <v>400000</v>
      </c>
      <c r="E417" s="357">
        <v>398000</v>
      </c>
      <c r="F417" s="212">
        <f t="shared" si="27"/>
        <v>2000</v>
      </c>
    </row>
    <row r="418" spans="1:6">
      <c r="A418" s="337" t="s">
        <v>1053</v>
      </c>
      <c r="B418" s="192"/>
      <c r="C418" s="135" t="s">
        <v>445</v>
      </c>
      <c r="D418" s="683">
        <v>499800</v>
      </c>
      <c r="E418" s="357">
        <v>499000</v>
      </c>
      <c r="F418" s="212">
        <f t="shared" si="27"/>
        <v>800</v>
      </c>
    </row>
    <row r="419" spans="1:6">
      <c r="A419" s="684" t="s">
        <v>35</v>
      </c>
      <c r="B419" s="201"/>
      <c r="C419" s="142"/>
      <c r="D419" s="161">
        <f>SUM(D395:D418)</f>
        <v>3236345</v>
      </c>
      <c r="E419" s="161">
        <f>SUM(E394:E418)</f>
        <v>2903000</v>
      </c>
      <c r="F419" s="685">
        <f>SUM(F395:F418)</f>
        <v>333345</v>
      </c>
    </row>
    <row r="420" spans="1:6">
      <c r="A420" s="117" t="s">
        <v>224</v>
      </c>
      <c r="B420" s="144" t="s">
        <v>446</v>
      </c>
      <c r="C420" s="207" t="s">
        <v>576</v>
      </c>
      <c r="D420" s="235"/>
      <c r="E420" s="235"/>
      <c r="F420" s="236"/>
    </row>
    <row r="421" spans="1:6">
      <c r="A421" s="237" t="s">
        <v>1046</v>
      </c>
      <c r="B421" s="325"/>
      <c r="C421" s="228"/>
      <c r="D421" s="680">
        <f>70000+5945+14055</f>
        <v>90000</v>
      </c>
      <c r="E421" s="680">
        <v>90000</v>
      </c>
      <c r="F421" s="213">
        <f>D421-E421</f>
        <v>0</v>
      </c>
    </row>
    <row r="422" spans="1:6">
      <c r="A422" s="237" t="s">
        <v>1047</v>
      </c>
      <c r="B422" s="325"/>
      <c r="C422" s="228"/>
      <c r="D422" s="680">
        <v>63600</v>
      </c>
      <c r="E422" s="680">
        <v>63600</v>
      </c>
      <c r="F422" s="213">
        <f>D422-E422</f>
        <v>0</v>
      </c>
    </row>
    <row r="423" spans="1:6">
      <c r="A423" s="676" t="s">
        <v>35</v>
      </c>
      <c r="B423" s="201"/>
      <c r="C423" s="142"/>
      <c r="D423" s="161">
        <f>SUM(D421:D422)</f>
        <v>153600</v>
      </c>
      <c r="E423" s="161">
        <f t="shared" ref="E423" si="28">SUM(E421:E422)</f>
        <v>153600</v>
      </c>
      <c r="F423" s="161">
        <f t="shared" ref="F423" si="29">SUM(F421:F422)</f>
        <v>0</v>
      </c>
    </row>
    <row r="424" spans="1:6">
      <c r="A424" s="117" t="s">
        <v>224</v>
      </c>
      <c r="B424" s="144" t="s">
        <v>610</v>
      </c>
      <c r="C424" s="207" t="s">
        <v>541</v>
      </c>
      <c r="D424" s="235"/>
      <c r="E424" s="235"/>
      <c r="F424" s="236"/>
    </row>
    <row r="425" spans="1:6">
      <c r="A425" s="237" t="s">
        <v>1051</v>
      </c>
      <c r="B425" s="325"/>
      <c r="C425" s="228"/>
      <c r="D425" s="680">
        <v>100000</v>
      </c>
      <c r="E425" s="680">
        <v>0</v>
      </c>
      <c r="F425" s="213">
        <f>D425-E425</f>
        <v>100000</v>
      </c>
    </row>
    <row r="426" spans="1:6">
      <c r="A426" s="237" t="s">
        <v>1043</v>
      </c>
      <c r="B426" s="194"/>
      <c r="C426" s="147"/>
      <c r="D426" s="680">
        <v>675000</v>
      </c>
      <c r="E426" s="680">
        <v>655000</v>
      </c>
      <c r="F426" s="213">
        <f>D426-E426</f>
        <v>20000</v>
      </c>
    </row>
    <row r="427" spans="1:6">
      <c r="A427" s="676" t="s">
        <v>35</v>
      </c>
      <c r="B427" s="201"/>
      <c r="C427" s="142"/>
      <c r="D427" s="161">
        <f>SUM(D425:D426)</f>
        <v>775000</v>
      </c>
      <c r="E427" s="161">
        <f t="shared" ref="E427:F427" si="30">SUM(E425:E426)</f>
        <v>655000</v>
      </c>
      <c r="F427" s="161">
        <f t="shared" si="30"/>
        <v>120000</v>
      </c>
    </row>
    <row r="428" spans="1:6">
      <c r="A428" s="129" t="s">
        <v>611</v>
      </c>
      <c r="B428" s="142"/>
      <c r="C428" s="171"/>
      <c r="D428" s="206">
        <f>D419+D423+D427</f>
        <v>4164945</v>
      </c>
      <c r="E428" s="206">
        <f>E419+E423+E427</f>
        <v>3711600</v>
      </c>
      <c r="F428" s="206">
        <f>F419</f>
        <v>333345</v>
      </c>
    </row>
    <row r="429" spans="1:6">
      <c r="A429" s="129" t="s">
        <v>402</v>
      </c>
      <c r="B429" s="201"/>
      <c r="C429" s="238"/>
      <c r="D429" s="206">
        <f>D333+D393+D428</f>
        <v>43267600</v>
      </c>
      <c r="E429" s="206">
        <f>E428+E393+E333</f>
        <v>38305277.769999996</v>
      </c>
      <c r="F429" s="219">
        <f>D429-E429</f>
        <v>4962322.2300000042</v>
      </c>
    </row>
    <row r="430" spans="1:6">
      <c r="A430" s="239"/>
      <c r="B430" s="240"/>
      <c r="C430" s="241"/>
      <c r="D430" s="242"/>
      <c r="E430" s="243"/>
      <c r="F430" s="243"/>
    </row>
    <row r="431" spans="1:6">
      <c r="A431" s="239"/>
      <c r="B431" s="240"/>
      <c r="C431" s="241"/>
      <c r="D431" s="242"/>
      <c r="E431" s="243"/>
      <c r="F431" s="243"/>
    </row>
    <row r="432" spans="1:6">
      <c r="A432" s="239"/>
      <c r="B432" s="240"/>
      <c r="C432" s="241"/>
      <c r="D432" s="242">
        <v>43267600</v>
      </c>
      <c r="E432" s="243"/>
      <c r="F432" s="243"/>
    </row>
    <row r="433" spans="1:6">
      <c r="A433" s="239"/>
      <c r="B433" s="240"/>
      <c r="C433" s="241"/>
      <c r="D433" s="242"/>
      <c r="E433" s="243"/>
      <c r="F433" s="243"/>
    </row>
    <row r="434" spans="1:6">
      <c r="A434" s="239"/>
      <c r="B434" s="240"/>
      <c r="C434" s="241"/>
      <c r="D434" s="242"/>
      <c r="E434" s="243"/>
      <c r="F434" s="243"/>
    </row>
    <row r="435" spans="1:6">
      <c r="A435" s="239"/>
      <c r="B435" s="240"/>
      <c r="C435" s="241"/>
      <c r="D435" s="242"/>
      <c r="E435" s="243"/>
      <c r="F435" s="243"/>
    </row>
    <row r="436" spans="1:6">
      <c r="A436" s="239"/>
      <c r="B436" s="240"/>
      <c r="C436" s="241"/>
      <c r="D436" s="242"/>
      <c r="E436" s="243"/>
      <c r="F436" s="243"/>
    </row>
    <row r="437" spans="1:6">
      <c r="A437" s="239"/>
      <c r="B437" s="240"/>
      <c r="C437" s="241"/>
      <c r="D437" s="242"/>
      <c r="E437" s="243"/>
      <c r="F437" s="243"/>
    </row>
    <row r="438" spans="1:6">
      <c r="A438" s="239"/>
      <c r="B438" s="240"/>
      <c r="C438" s="241"/>
      <c r="D438" s="242"/>
      <c r="E438" s="243"/>
      <c r="F438" s="243"/>
    </row>
    <row r="439" spans="1:6">
      <c r="A439" s="239"/>
      <c r="B439" s="240"/>
      <c r="C439" s="241"/>
      <c r="D439" s="242"/>
      <c r="E439" s="243"/>
      <c r="F439" s="243"/>
    </row>
    <row r="440" spans="1:6">
      <c r="A440" s="239"/>
      <c r="B440" s="240"/>
      <c r="C440" s="241"/>
      <c r="D440" s="242"/>
      <c r="E440" s="243"/>
      <c r="F440" s="243"/>
    </row>
    <row r="441" spans="1:6">
      <c r="A441" s="239"/>
      <c r="B441" s="240"/>
      <c r="C441" s="241"/>
      <c r="D441" s="242"/>
      <c r="E441" s="243"/>
      <c r="F441" s="243"/>
    </row>
    <row r="442" spans="1:6">
      <c r="A442" s="239"/>
      <c r="B442" s="240"/>
      <c r="C442" s="241"/>
      <c r="D442" s="242"/>
      <c r="E442" s="243"/>
      <c r="F442" s="243"/>
    </row>
    <row r="443" spans="1:6">
      <c r="A443" s="239"/>
      <c r="B443" s="240"/>
      <c r="C443" s="241"/>
      <c r="D443" s="242"/>
      <c r="E443" s="243"/>
      <c r="F443" s="243"/>
    </row>
    <row r="444" spans="1:6">
      <c r="A444" s="239"/>
      <c r="B444" s="240"/>
      <c r="C444" s="241"/>
      <c r="D444" s="242"/>
      <c r="E444" s="243"/>
      <c r="F444" s="243"/>
    </row>
    <row r="445" spans="1:6">
      <c r="A445" s="239"/>
      <c r="B445" s="240"/>
      <c r="C445" s="241"/>
      <c r="D445" s="242"/>
      <c r="E445" s="243"/>
      <c r="F445" s="243"/>
    </row>
    <row r="446" spans="1:6">
      <c r="A446" s="239"/>
      <c r="B446" s="240"/>
      <c r="C446" s="241"/>
      <c r="D446" s="242"/>
      <c r="E446" s="243"/>
      <c r="F446" s="243"/>
    </row>
    <row r="447" spans="1:6">
      <c r="A447" s="239"/>
      <c r="B447" s="240"/>
      <c r="C447" s="241"/>
      <c r="D447" s="242"/>
      <c r="E447" s="243"/>
      <c r="F447" s="243"/>
    </row>
    <row r="448" spans="1:6">
      <c r="A448" s="239"/>
      <c r="B448" s="240"/>
      <c r="C448" s="241"/>
      <c r="D448" s="242"/>
      <c r="E448" s="243"/>
      <c r="F448" s="243"/>
    </row>
    <row r="449" spans="1:6">
      <c r="A449" s="239"/>
      <c r="B449" s="240"/>
      <c r="C449" s="241"/>
      <c r="D449" s="242"/>
      <c r="E449" s="243"/>
      <c r="F449" s="243"/>
    </row>
    <row r="450" spans="1:6">
      <c r="A450" s="239"/>
      <c r="B450" s="240"/>
      <c r="C450" s="241"/>
      <c r="D450" s="242"/>
      <c r="E450" s="243"/>
      <c r="F450" s="243"/>
    </row>
    <row r="451" spans="1:6">
      <c r="A451" s="239"/>
      <c r="B451" s="240"/>
      <c r="C451" s="241"/>
      <c r="D451" s="242"/>
      <c r="E451" s="243"/>
      <c r="F451" s="243"/>
    </row>
    <row r="452" spans="1:6">
      <c r="A452" s="239"/>
      <c r="B452" s="240"/>
      <c r="C452" s="241"/>
      <c r="D452" s="242"/>
      <c r="E452" s="243"/>
      <c r="F452" s="243"/>
    </row>
    <row r="453" spans="1:6">
      <c r="A453" s="239"/>
      <c r="B453" s="240"/>
      <c r="C453" s="241"/>
      <c r="D453" s="242"/>
      <c r="E453" s="243"/>
      <c r="F453" s="243"/>
    </row>
    <row r="454" spans="1:6">
      <c r="A454" s="239"/>
      <c r="B454" s="240"/>
      <c r="C454" s="241"/>
      <c r="D454" s="242"/>
      <c r="E454" s="243"/>
      <c r="F454" s="243"/>
    </row>
    <row r="455" spans="1:6">
      <c r="A455" s="239"/>
      <c r="B455" s="240"/>
      <c r="C455" s="241"/>
      <c r="D455" s="242"/>
      <c r="E455" s="243"/>
      <c r="F455" s="243"/>
    </row>
    <row r="456" spans="1:6">
      <c r="A456" s="239"/>
      <c r="B456" s="240"/>
      <c r="C456" s="241"/>
      <c r="D456" s="242"/>
      <c r="E456" s="243"/>
      <c r="F456" s="243"/>
    </row>
    <row r="457" spans="1:6">
      <c r="A457" s="239"/>
      <c r="B457" s="240"/>
      <c r="C457" s="241"/>
      <c r="D457" s="242"/>
      <c r="E457" s="243"/>
      <c r="F457" s="243"/>
    </row>
    <row r="458" spans="1:6">
      <c r="A458" s="239"/>
      <c r="B458" s="240"/>
      <c r="C458" s="241"/>
      <c r="D458" s="242"/>
      <c r="E458" s="243"/>
      <c r="F458" s="243"/>
    </row>
    <row r="459" spans="1:6">
      <c r="A459" s="239"/>
      <c r="B459" s="240"/>
      <c r="C459" s="241"/>
      <c r="D459" s="242"/>
      <c r="E459" s="243"/>
      <c r="F459" s="243"/>
    </row>
    <row r="460" spans="1:6">
      <c r="A460" s="239"/>
      <c r="B460" s="240"/>
      <c r="C460" s="241"/>
      <c r="D460" s="242"/>
      <c r="E460" s="243"/>
      <c r="F460" s="243"/>
    </row>
    <row r="461" spans="1:6">
      <c r="A461" s="239"/>
      <c r="B461" s="240"/>
      <c r="C461" s="241"/>
      <c r="D461" s="242"/>
      <c r="E461" s="243"/>
      <c r="F461" s="243"/>
    </row>
    <row r="462" spans="1:6">
      <c r="A462" s="239"/>
      <c r="B462" s="240"/>
      <c r="C462" s="241"/>
      <c r="D462" s="242"/>
      <c r="E462" s="243"/>
      <c r="F462" s="243"/>
    </row>
  </sheetData>
  <mergeCells count="3">
    <mergeCell ref="A1:F1"/>
    <mergeCell ref="A2:F2"/>
    <mergeCell ref="A3:F3"/>
  </mergeCells>
  <pageMargins left="0.2" right="0.19685039370078741" top="0.37" bottom="0.2" header="0.31496062992125984" footer="0.31496062992125984"/>
  <pageSetup paperSize="9" orientation="landscape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2:H261"/>
  <sheetViews>
    <sheetView workbookViewId="0">
      <selection activeCell="K21" sqref="K21"/>
    </sheetView>
  </sheetViews>
  <sheetFormatPr defaultRowHeight="18.75"/>
  <cols>
    <col min="1" max="1" width="50.5" style="78" bestFit="1" customWidth="1"/>
    <col min="2" max="2" width="11.875" style="78" bestFit="1" customWidth="1"/>
    <col min="3" max="3" width="12.625" style="78" customWidth="1"/>
    <col min="4" max="4" width="4.875" style="78" bestFit="1" customWidth="1"/>
    <col min="5" max="5" width="11.25" style="78" bestFit="1" customWidth="1"/>
    <col min="6" max="6" width="13" style="78" bestFit="1" customWidth="1"/>
    <col min="7" max="16384" width="9" style="78"/>
  </cols>
  <sheetData>
    <row r="2" spans="1:6">
      <c r="A2" s="820" t="s">
        <v>196</v>
      </c>
      <c r="B2" s="820"/>
      <c r="C2" s="820"/>
      <c r="D2" s="820"/>
      <c r="E2" s="820"/>
    </row>
    <row r="3" spans="1:6">
      <c r="A3" s="820" t="s">
        <v>302</v>
      </c>
      <c r="B3" s="820"/>
      <c r="C3" s="820"/>
      <c r="D3" s="820"/>
      <c r="E3" s="820"/>
    </row>
    <row r="4" spans="1:6">
      <c r="A4" s="820" t="s">
        <v>858</v>
      </c>
      <c r="B4" s="820"/>
      <c r="C4" s="820"/>
      <c r="D4" s="820"/>
      <c r="E4" s="820"/>
      <c r="F4" s="79" t="s">
        <v>303</v>
      </c>
    </row>
    <row r="5" spans="1:6">
      <c r="A5" s="817" t="s">
        <v>291</v>
      </c>
      <c r="B5" s="80" t="s">
        <v>66</v>
      </c>
      <c r="C5" s="817" t="s">
        <v>304</v>
      </c>
      <c r="D5" s="463" t="s">
        <v>305</v>
      </c>
      <c r="E5" s="817" t="s">
        <v>306</v>
      </c>
    </row>
    <row r="6" spans="1:6">
      <c r="A6" s="817"/>
      <c r="B6" s="81" t="s">
        <v>107</v>
      </c>
      <c r="C6" s="817"/>
      <c r="D6" s="463" t="s">
        <v>149</v>
      </c>
      <c r="E6" s="817"/>
    </row>
    <row r="7" spans="1:6">
      <c r="A7" s="82" t="s">
        <v>107</v>
      </c>
      <c r="B7" s="83"/>
      <c r="C7" s="83"/>
      <c r="D7" s="83"/>
      <c r="E7" s="83"/>
    </row>
    <row r="8" spans="1:6">
      <c r="A8" s="82" t="s">
        <v>307</v>
      </c>
      <c r="B8" s="84"/>
      <c r="C8" s="84"/>
      <c r="D8" s="84"/>
      <c r="E8" s="84"/>
    </row>
    <row r="9" spans="1:6">
      <c r="A9" s="82" t="s">
        <v>308</v>
      </c>
      <c r="B9" s="84"/>
      <c r="C9" s="84"/>
      <c r="D9" s="84"/>
      <c r="E9" s="84"/>
    </row>
    <row r="10" spans="1:6">
      <c r="A10" s="83" t="s">
        <v>309</v>
      </c>
      <c r="B10" s="84">
        <v>240300</v>
      </c>
      <c r="C10" s="84">
        <v>99117.63</v>
      </c>
      <c r="D10" s="85" t="s">
        <v>149</v>
      </c>
      <c r="E10" s="84">
        <f>C10-B10</f>
        <v>-141182.37</v>
      </c>
    </row>
    <row r="11" spans="1:6">
      <c r="A11" s="83" t="s">
        <v>311</v>
      </c>
      <c r="B11" s="84">
        <v>89100</v>
      </c>
      <c r="C11" s="84">
        <f>181432.22+8428.98</f>
        <v>189861.2</v>
      </c>
      <c r="D11" s="85" t="s">
        <v>305</v>
      </c>
      <c r="E11" s="84">
        <f t="shared" ref="E11:E12" si="0">C11-B11</f>
        <v>100761.20000000001</v>
      </c>
    </row>
    <row r="12" spans="1:6">
      <c r="A12" s="83" t="s">
        <v>312</v>
      </c>
      <c r="B12" s="84">
        <v>16800</v>
      </c>
      <c r="C12" s="84">
        <v>19560</v>
      </c>
      <c r="D12" s="85" t="s">
        <v>310</v>
      </c>
      <c r="E12" s="84">
        <f t="shared" si="0"/>
        <v>2760</v>
      </c>
    </row>
    <row r="13" spans="1:6">
      <c r="A13" s="86" t="s">
        <v>313</v>
      </c>
      <c r="B13" s="87">
        <f>SUM(B10:B12)</f>
        <v>346200</v>
      </c>
      <c r="C13" s="87">
        <f>SUM(C10:C12)</f>
        <v>308538.83</v>
      </c>
      <c r="D13" s="88" t="s">
        <v>305</v>
      </c>
      <c r="E13" s="87">
        <f>C13-B13</f>
        <v>-37661.169999999984</v>
      </c>
    </row>
    <row r="14" spans="1:6">
      <c r="A14" s="83" t="s">
        <v>314</v>
      </c>
      <c r="B14" s="84">
        <v>311000</v>
      </c>
      <c r="C14" s="84">
        <v>337969.51</v>
      </c>
      <c r="D14" s="85" t="s">
        <v>305</v>
      </c>
      <c r="E14" s="87">
        <f t="shared" ref="E14:E26" si="1">C14-B14</f>
        <v>26969.510000000009</v>
      </c>
    </row>
    <row r="15" spans="1:6">
      <c r="A15" s="83" t="s">
        <v>315</v>
      </c>
      <c r="B15" s="84">
        <v>8716200</v>
      </c>
      <c r="C15" s="84">
        <v>9417642.8499999996</v>
      </c>
      <c r="D15" s="85" t="s">
        <v>305</v>
      </c>
      <c r="E15" s="87">
        <f t="shared" si="1"/>
        <v>701442.84999999963</v>
      </c>
    </row>
    <row r="16" spans="1:6">
      <c r="A16" s="83" t="s">
        <v>316</v>
      </c>
      <c r="B16" s="84">
        <v>2802000</v>
      </c>
      <c r="C16" s="84">
        <v>2643283.87</v>
      </c>
      <c r="D16" s="85" t="s">
        <v>149</v>
      </c>
      <c r="E16" s="87">
        <f t="shared" si="1"/>
        <v>-158716.12999999989</v>
      </c>
    </row>
    <row r="17" spans="1:5">
      <c r="A17" s="83" t="s">
        <v>317</v>
      </c>
      <c r="B17" s="84">
        <v>45500</v>
      </c>
      <c r="C17" s="84">
        <v>111571.2</v>
      </c>
      <c r="D17" s="85" t="s">
        <v>149</v>
      </c>
      <c r="E17" s="87">
        <f t="shared" si="1"/>
        <v>66071.199999999997</v>
      </c>
    </row>
    <row r="18" spans="1:5">
      <c r="A18" s="83" t="s">
        <v>318</v>
      </c>
      <c r="B18" s="84">
        <v>1515500</v>
      </c>
      <c r="C18" s="84">
        <v>0</v>
      </c>
      <c r="D18" s="85" t="s">
        <v>149</v>
      </c>
      <c r="E18" s="87">
        <f t="shared" si="1"/>
        <v>-1515500</v>
      </c>
    </row>
    <row r="19" spans="1:5">
      <c r="A19" s="83" t="s">
        <v>319</v>
      </c>
      <c r="B19" s="84">
        <v>3650500</v>
      </c>
      <c r="C19" s="84">
        <v>5982087.7199999997</v>
      </c>
      <c r="D19" s="85" t="s">
        <v>305</v>
      </c>
      <c r="E19" s="87">
        <f t="shared" si="1"/>
        <v>2331587.7199999997</v>
      </c>
    </row>
    <row r="20" spans="1:5">
      <c r="A20" s="83" t="s">
        <v>320</v>
      </c>
      <c r="B20" s="84">
        <v>57500</v>
      </c>
      <c r="C20" s="84">
        <v>49938.13</v>
      </c>
      <c r="D20" s="85" t="s">
        <v>149</v>
      </c>
      <c r="E20" s="87">
        <f t="shared" si="1"/>
        <v>-7561.8700000000026</v>
      </c>
    </row>
    <row r="21" spans="1:5">
      <c r="A21" s="83" t="s">
        <v>321</v>
      </c>
      <c r="B21" s="84">
        <v>47700</v>
      </c>
      <c r="C21" s="84">
        <v>52710.36</v>
      </c>
      <c r="D21" s="85" t="s">
        <v>305</v>
      </c>
      <c r="E21" s="87">
        <f t="shared" si="1"/>
        <v>5010.3600000000006</v>
      </c>
    </row>
    <row r="22" spans="1:5">
      <c r="A22" s="83" t="s">
        <v>323</v>
      </c>
      <c r="B22" s="84">
        <v>1096000</v>
      </c>
      <c r="C22" s="84">
        <v>922045</v>
      </c>
      <c r="D22" s="85" t="s">
        <v>149</v>
      </c>
      <c r="E22" s="87">
        <f t="shared" si="1"/>
        <v>-173955</v>
      </c>
    </row>
    <row r="23" spans="1:5">
      <c r="A23" s="83" t="s">
        <v>324</v>
      </c>
      <c r="B23" s="84">
        <v>2145</v>
      </c>
      <c r="C23" s="84">
        <v>36260</v>
      </c>
      <c r="D23" s="85" t="s">
        <v>305</v>
      </c>
      <c r="E23" s="87">
        <f t="shared" si="1"/>
        <v>34115</v>
      </c>
    </row>
    <row r="24" spans="1:5">
      <c r="A24" s="83" t="s">
        <v>859</v>
      </c>
      <c r="B24" s="84">
        <v>2600</v>
      </c>
      <c r="C24" s="84">
        <v>0</v>
      </c>
      <c r="D24" s="85" t="s">
        <v>149</v>
      </c>
      <c r="E24" s="87">
        <f t="shared" si="1"/>
        <v>-2600</v>
      </c>
    </row>
    <row r="25" spans="1:5">
      <c r="A25" s="86" t="s">
        <v>325</v>
      </c>
      <c r="B25" s="87">
        <f>SUM(B14:B24)</f>
        <v>18246645</v>
      </c>
      <c r="C25" s="87">
        <f>SUM(C14:C23)</f>
        <v>19553508.639999997</v>
      </c>
      <c r="D25" s="88" t="s">
        <v>305</v>
      </c>
      <c r="E25" s="87">
        <f t="shared" si="1"/>
        <v>1306863.6399999969</v>
      </c>
    </row>
    <row r="26" spans="1:5">
      <c r="A26" s="89" t="s">
        <v>35</v>
      </c>
      <c r="B26" s="87">
        <f>B25+B13</f>
        <v>18592845</v>
      </c>
      <c r="C26" s="87">
        <f>C25+C13</f>
        <v>19862047.469999995</v>
      </c>
      <c r="D26" s="88" t="s">
        <v>305</v>
      </c>
      <c r="E26" s="87">
        <f t="shared" si="1"/>
        <v>1269202.4699999951</v>
      </c>
    </row>
    <row r="27" spans="1:5">
      <c r="A27" s="82" t="s">
        <v>326</v>
      </c>
      <c r="B27" s="84"/>
      <c r="C27" s="84"/>
      <c r="D27" s="85"/>
      <c r="E27" s="84"/>
    </row>
    <row r="28" spans="1:5">
      <c r="A28" s="82" t="s">
        <v>327</v>
      </c>
      <c r="B28" s="84"/>
      <c r="C28" s="84"/>
      <c r="D28" s="85"/>
      <c r="E28" s="84"/>
    </row>
    <row r="29" spans="1:5">
      <c r="A29" s="83" t="s">
        <v>328</v>
      </c>
      <c r="B29" s="84">
        <v>100</v>
      </c>
      <c r="C29" s="84">
        <v>20</v>
      </c>
      <c r="D29" s="85" t="s">
        <v>149</v>
      </c>
      <c r="E29" s="84">
        <f t="shared" ref="E29:E43" si="2">C29-B29</f>
        <v>-80</v>
      </c>
    </row>
    <row r="30" spans="1:5">
      <c r="A30" s="83" t="s">
        <v>329</v>
      </c>
      <c r="B30" s="84">
        <v>4000</v>
      </c>
      <c r="C30" s="84">
        <v>4363</v>
      </c>
      <c r="D30" s="85" t="s">
        <v>305</v>
      </c>
      <c r="E30" s="84">
        <f t="shared" si="2"/>
        <v>363</v>
      </c>
    </row>
    <row r="31" spans="1:5">
      <c r="A31" s="83" t="s">
        <v>330</v>
      </c>
      <c r="B31" s="84">
        <v>600</v>
      </c>
      <c r="C31" s="84">
        <v>500</v>
      </c>
      <c r="D31" s="85" t="s">
        <v>149</v>
      </c>
      <c r="E31" s="84">
        <f t="shared" si="2"/>
        <v>-100</v>
      </c>
    </row>
    <row r="32" spans="1:5">
      <c r="A32" s="83" t="s">
        <v>331</v>
      </c>
      <c r="B32" s="84">
        <v>145100</v>
      </c>
      <c r="C32" s="84">
        <v>143795</v>
      </c>
      <c r="D32" s="85" t="s">
        <v>149</v>
      </c>
      <c r="E32" s="84">
        <f t="shared" si="2"/>
        <v>-1305</v>
      </c>
    </row>
    <row r="33" spans="1:5">
      <c r="A33" s="83" t="s">
        <v>332</v>
      </c>
      <c r="B33" s="84">
        <v>9000</v>
      </c>
      <c r="C33" s="84">
        <v>0</v>
      </c>
      <c r="D33" s="85" t="s">
        <v>149</v>
      </c>
      <c r="E33" s="84">
        <f t="shared" si="2"/>
        <v>-9000</v>
      </c>
    </row>
    <row r="34" spans="1:5">
      <c r="A34" s="83" t="s">
        <v>333</v>
      </c>
      <c r="B34" s="84">
        <v>1600</v>
      </c>
      <c r="C34" s="84">
        <v>900</v>
      </c>
      <c r="D34" s="85" t="s">
        <v>149</v>
      </c>
      <c r="E34" s="84">
        <f t="shared" si="2"/>
        <v>-700</v>
      </c>
    </row>
    <row r="35" spans="1:5">
      <c r="A35" s="83" t="s">
        <v>334</v>
      </c>
      <c r="B35" s="84">
        <v>80500</v>
      </c>
      <c r="C35" s="84">
        <v>19279</v>
      </c>
      <c r="D35" s="85" t="s">
        <v>149</v>
      </c>
      <c r="E35" s="84">
        <f t="shared" si="2"/>
        <v>-61221</v>
      </c>
    </row>
    <row r="36" spans="1:5">
      <c r="A36" s="83" t="s">
        <v>860</v>
      </c>
      <c r="B36" s="84">
        <v>4800</v>
      </c>
      <c r="C36" s="84">
        <v>0</v>
      </c>
      <c r="D36" s="85" t="s">
        <v>149</v>
      </c>
      <c r="E36" s="84">
        <f t="shared" si="2"/>
        <v>-4800</v>
      </c>
    </row>
    <row r="37" spans="1:5">
      <c r="A37" s="83" t="s">
        <v>861</v>
      </c>
      <c r="B37" s="84">
        <v>35200</v>
      </c>
      <c r="C37" s="84">
        <v>39100</v>
      </c>
      <c r="D37" s="85" t="s">
        <v>305</v>
      </c>
      <c r="E37" s="84">
        <f t="shared" si="2"/>
        <v>3900</v>
      </c>
    </row>
    <row r="38" spans="1:5">
      <c r="A38" s="83" t="s">
        <v>862</v>
      </c>
      <c r="B38" s="84">
        <v>8500</v>
      </c>
      <c r="C38" s="84">
        <v>0</v>
      </c>
      <c r="D38" s="85" t="s">
        <v>149</v>
      </c>
      <c r="E38" s="84">
        <f t="shared" si="2"/>
        <v>-8500</v>
      </c>
    </row>
    <row r="39" spans="1:5">
      <c r="A39" s="83" t="s">
        <v>863</v>
      </c>
      <c r="B39" s="84">
        <v>0</v>
      </c>
      <c r="C39" s="84">
        <v>1746</v>
      </c>
      <c r="D39" s="85" t="s">
        <v>305</v>
      </c>
      <c r="E39" s="84">
        <f t="shared" si="2"/>
        <v>1746</v>
      </c>
    </row>
    <row r="40" spans="1:5">
      <c r="A40" s="89" t="s">
        <v>35</v>
      </c>
      <c r="B40" s="87">
        <f>SUM(B29:B38)</f>
        <v>289400</v>
      </c>
      <c r="C40" s="87">
        <f>SUM(C29:C39)</f>
        <v>209703</v>
      </c>
      <c r="D40" s="88" t="s">
        <v>149</v>
      </c>
      <c r="E40" s="84">
        <f t="shared" si="2"/>
        <v>-79697</v>
      </c>
    </row>
    <row r="41" spans="1:5">
      <c r="A41" s="82" t="s">
        <v>335</v>
      </c>
      <c r="B41" s="84"/>
      <c r="C41" s="84"/>
      <c r="D41" s="85"/>
      <c r="E41" s="84">
        <f t="shared" si="2"/>
        <v>0</v>
      </c>
    </row>
    <row r="42" spans="1:5">
      <c r="A42" s="83" t="s">
        <v>336</v>
      </c>
      <c r="B42" s="84">
        <v>161000</v>
      </c>
      <c r="C42" s="84">
        <v>215707.94</v>
      </c>
      <c r="D42" s="88" t="s">
        <v>305</v>
      </c>
      <c r="E42" s="84">
        <f t="shared" si="2"/>
        <v>54707.94</v>
      </c>
    </row>
    <row r="43" spans="1:5">
      <c r="A43" s="89" t="s">
        <v>35</v>
      </c>
      <c r="B43" s="87">
        <f>B42</f>
        <v>161000</v>
      </c>
      <c r="C43" s="87">
        <f>C42</f>
        <v>215707.94</v>
      </c>
      <c r="D43" s="88" t="s">
        <v>305</v>
      </c>
      <c r="E43" s="87">
        <f t="shared" si="2"/>
        <v>54707.94</v>
      </c>
    </row>
    <row r="44" spans="1:5">
      <c r="A44" s="817" t="s">
        <v>291</v>
      </c>
      <c r="B44" s="80" t="s">
        <v>66</v>
      </c>
      <c r="C44" s="817" t="s">
        <v>304</v>
      </c>
      <c r="D44" s="463" t="s">
        <v>305</v>
      </c>
      <c r="E44" s="817" t="s">
        <v>306</v>
      </c>
    </row>
    <row r="45" spans="1:5">
      <c r="A45" s="817"/>
      <c r="B45" s="81" t="s">
        <v>107</v>
      </c>
      <c r="C45" s="817"/>
      <c r="D45" s="463" t="s">
        <v>149</v>
      </c>
      <c r="E45" s="817"/>
    </row>
    <row r="46" spans="1:5">
      <c r="A46" s="82" t="s">
        <v>337</v>
      </c>
      <c r="B46" s="84"/>
      <c r="C46" s="84"/>
      <c r="D46" s="85"/>
      <c r="E46" s="84"/>
    </row>
    <row r="47" spans="1:5">
      <c r="A47" s="83" t="s">
        <v>338</v>
      </c>
      <c r="B47" s="84">
        <v>0</v>
      </c>
      <c r="C47" s="84">
        <v>0</v>
      </c>
      <c r="D47" s="85" t="s">
        <v>305</v>
      </c>
      <c r="E47" s="84">
        <f t="shared" ref="E47:E52" si="3">C47-B47</f>
        <v>0</v>
      </c>
    </row>
    <row r="48" spans="1:5">
      <c r="A48" s="89" t="s">
        <v>35</v>
      </c>
      <c r="B48" s="87">
        <f>B47</f>
        <v>0</v>
      </c>
      <c r="C48" s="87">
        <f>C47</f>
        <v>0</v>
      </c>
      <c r="D48" s="88" t="s">
        <v>305</v>
      </c>
      <c r="E48" s="87">
        <f t="shared" si="3"/>
        <v>0</v>
      </c>
    </row>
    <row r="49" spans="1:5">
      <c r="A49" s="82" t="s">
        <v>339</v>
      </c>
      <c r="B49" s="84"/>
      <c r="C49" s="84"/>
      <c r="D49" s="85"/>
      <c r="E49" s="84">
        <f t="shared" si="3"/>
        <v>0</v>
      </c>
    </row>
    <row r="50" spans="1:5">
      <c r="A50" s="83" t="s">
        <v>340</v>
      </c>
      <c r="B50" s="84">
        <v>17000</v>
      </c>
      <c r="C50" s="84">
        <v>0</v>
      </c>
      <c r="D50" s="85" t="s">
        <v>149</v>
      </c>
      <c r="E50" s="84">
        <f t="shared" si="3"/>
        <v>-17000</v>
      </c>
    </row>
    <row r="51" spans="1:5">
      <c r="A51" s="83" t="s">
        <v>341</v>
      </c>
      <c r="B51" s="84">
        <v>3800</v>
      </c>
      <c r="C51" s="84">
        <v>2272</v>
      </c>
      <c r="D51" s="85" t="s">
        <v>149</v>
      </c>
      <c r="E51" s="84">
        <f t="shared" si="3"/>
        <v>-1528</v>
      </c>
    </row>
    <row r="52" spans="1:5">
      <c r="A52" s="89" t="s">
        <v>35</v>
      </c>
      <c r="B52" s="87">
        <f>SUM(B50:B51)</f>
        <v>20800</v>
      </c>
      <c r="C52" s="87">
        <f>SUM(C50:C51)</f>
        <v>2272</v>
      </c>
      <c r="D52" s="88" t="s">
        <v>149</v>
      </c>
      <c r="E52" s="87">
        <f t="shared" si="3"/>
        <v>-18528</v>
      </c>
    </row>
    <row r="53" spans="1:5">
      <c r="A53" s="90" t="s">
        <v>342</v>
      </c>
      <c r="B53" s="87"/>
      <c r="C53" s="87"/>
      <c r="D53" s="88"/>
      <c r="E53" s="87"/>
    </row>
    <row r="54" spans="1:5">
      <c r="A54" s="83" t="s">
        <v>343</v>
      </c>
      <c r="B54" s="84">
        <v>6000</v>
      </c>
      <c r="C54" s="84">
        <v>0</v>
      </c>
      <c r="D54" s="85" t="s">
        <v>149</v>
      </c>
      <c r="E54" s="84">
        <f>C54-B54</f>
        <v>-6000</v>
      </c>
    </row>
    <row r="55" spans="1:5">
      <c r="A55" s="89" t="s">
        <v>35</v>
      </c>
      <c r="B55" s="87">
        <f>SUM(B54)</f>
        <v>6000</v>
      </c>
      <c r="C55" s="87">
        <f>SUM(C54)</f>
        <v>0</v>
      </c>
      <c r="D55" s="88" t="s">
        <v>149</v>
      </c>
      <c r="E55" s="87">
        <f>C55-B55</f>
        <v>-6000</v>
      </c>
    </row>
    <row r="56" spans="1:5">
      <c r="A56" s="82" t="s">
        <v>344</v>
      </c>
      <c r="B56" s="81"/>
      <c r="C56" s="463"/>
      <c r="D56" s="463"/>
      <c r="E56" s="463"/>
    </row>
    <row r="57" spans="1:5">
      <c r="A57" s="82" t="s">
        <v>345</v>
      </c>
      <c r="B57" s="81"/>
      <c r="C57" s="463"/>
      <c r="D57" s="463"/>
      <c r="E57" s="463"/>
    </row>
    <row r="58" spans="1:5">
      <c r="A58" s="83" t="s">
        <v>346</v>
      </c>
      <c r="B58" s="84">
        <v>24197555</v>
      </c>
      <c r="C58" s="84">
        <v>23872332</v>
      </c>
      <c r="D58" s="85" t="s">
        <v>149</v>
      </c>
      <c r="E58" s="84">
        <f>C58-B58</f>
        <v>-325223</v>
      </c>
    </row>
    <row r="59" spans="1:5">
      <c r="A59" s="83" t="s">
        <v>347</v>
      </c>
      <c r="B59" s="84">
        <v>0</v>
      </c>
      <c r="C59" s="91">
        <v>0</v>
      </c>
      <c r="D59" s="85"/>
      <c r="E59" s="84">
        <f>C59-B59</f>
        <v>0</v>
      </c>
    </row>
    <row r="60" spans="1:5">
      <c r="A60" s="83" t="s">
        <v>348</v>
      </c>
      <c r="B60" s="84">
        <v>0</v>
      </c>
      <c r="C60" s="92">
        <v>29900</v>
      </c>
      <c r="D60" s="85"/>
      <c r="E60" s="84">
        <f>C60-B60</f>
        <v>29900</v>
      </c>
    </row>
    <row r="61" spans="1:5">
      <c r="A61" s="89" t="s">
        <v>35</v>
      </c>
      <c r="B61" s="87">
        <f>B58</f>
        <v>24197555</v>
      </c>
      <c r="C61" s="87">
        <f>SUM(C58:C60)</f>
        <v>23902232</v>
      </c>
      <c r="D61" s="88" t="s">
        <v>149</v>
      </c>
      <c r="E61" s="87">
        <f>C61-B61</f>
        <v>-295323</v>
      </c>
    </row>
    <row r="62" spans="1:5">
      <c r="A62" s="89" t="s">
        <v>349</v>
      </c>
      <c r="B62" s="87">
        <f>B61+B55+B52+B48+B43+B40+B26</f>
        <v>43267600</v>
      </c>
      <c r="C62" s="87">
        <f>C26+C40+C43+C48+C52+C55+C61</f>
        <v>44191962.409999996</v>
      </c>
      <c r="D62" s="88" t="s">
        <v>149</v>
      </c>
      <c r="E62" s="87">
        <f>C62-B62</f>
        <v>924362.40999999642</v>
      </c>
    </row>
    <row r="63" spans="1:5">
      <c r="A63" s="93"/>
      <c r="B63" s="94"/>
      <c r="C63" s="94"/>
      <c r="D63" s="95"/>
      <c r="E63" s="94"/>
    </row>
    <row r="64" spans="1:5">
      <c r="A64" s="93"/>
      <c r="B64" s="94"/>
      <c r="C64" s="94"/>
      <c r="D64" s="95"/>
      <c r="E64" s="94"/>
    </row>
    <row r="65" spans="1:5">
      <c r="A65" s="93"/>
      <c r="B65" s="94"/>
      <c r="C65" s="94"/>
      <c r="D65" s="95"/>
      <c r="E65" s="94"/>
    </row>
    <row r="66" spans="1:5">
      <c r="A66" s="93"/>
      <c r="B66" s="94"/>
      <c r="C66" s="94"/>
      <c r="D66" s="95"/>
      <c r="E66" s="94"/>
    </row>
    <row r="67" spans="1:5">
      <c r="A67" s="93"/>
      <c r="B67" s="94"/>
      <c r="C67" s="94"/>
      <c r="D67" s="95"/>
      <c r="E67" s="94"/>
    </row>
    <row r="68" spans="1:5">
      <c r="A68" s="93"/>
      <c r="B68" s="94"/>
      <c r="C68" s="94"/>
      <c r="D68" s="95"/>
      <c r="E68" s="94"/>
    </row>
    <row r="69" spans="1:5">
      <c r="A69" s="93"/>
      <c r="B69" s="94"/>
      <c r="C69" s="94"/>
      <c r="D69" s="95"/>
      <c r="E69" s="94"/>
    </row>
    <row r="70" spans="1:5">
      <c r="A70" s="93"/>
      <c r="B70" s="94"/>
      <c r="C70" s="94"/>
      <c r="D70" s="95"/>
      <c r="E70" s="94"/>
    </row>
    <row r="71" spans="1:5">
      <c r="A71" s="93"/>
      <c r="B71" s="94"/>
      <c r="C71" s="94"/>
      <c r="D71" s="95"/>
      <c r="E71" s="94"/>
    </row>
    <row r="72" spans="1:5">
      <c r="A72" s="93"/>
      <c r="B72" s="94"/>
      <c r="C72" s="94"/>
      <c r="D72" s="95"/>
      <c r="E72" s="94"/>
    </row>
    <row r="73" spans="1:5">
      <c r="A73" s="93"/>
      <c r="B73" s="94"/>
      <c r="C73" s="94"/>
      <c r="D73" s="95"/>
      <c r="E73" s="94"/>
    </row>
    <row r="74" spans="1:5">
      <c r="A74" s="93"/>
      <c r="B74" s="94"/>
      <c r="C74" s="94"/>
      <c r="D74" s="95"/>
      <c r="E74" s="94"/>
    </row>
    <row r="75" spans="1:5">
      <c r="A75" s="93"/>
      <c r="B75" s="94"/>
      <c r="C75" s="94"/>
      <c r="D75" s="95"/>
      <c r="E75" s="94"/>
    </row>
    <row r="76" spans="1:5">
      <c r="A76" s="93"/>
      <c r="B76" s="94"/>
      <c r="C76" s="94"/>
      <c r="D76" s="95"/>
      <c r="E76" s="94"/>
    </row>
    <row r="77" spans="1:5">
      <c r="A77" s="93"/>
      <c r="B77" s="94"/>
      <c r="C77" s="94"/>
      <c r="D77" s="95"/>
      <c r="E77" s="94"/>
    </row>
    <row r="78" spans="1:5">
      <c r="A78" s="93"/>
      <c r="B78" s="94"/>
      <c r="C78" s="94"/>
      <c r="D78" s="95"/>
      <c r="E78" s="94"/>
    </row>
    <row r="79" spans="1:5">
      <c r="A79" s="93"/>
      <c r="B79" s="94"/>
      <c r="C79" s="94"/>
      <c r="D79" s="95"/>
      <c r="E79" s="94"/>
    </row>
    <row r="80" spans="1:5">
      <c r="A80" s="93"/>
      <c r="B80" s="94"/>
      <c r="C80" s="94"/>
      <c r="D80" s="95"/>
      <c r="E80" s="94"/>
    </row>
    <row r="81" spans="1:8">
      <c r="A81" s="93"/>
      <c r="B81" s="94"/>
      <c r="C81" s="94"/>
      <c r="D81" s="95"/>
      <c r="E81" s="94"/>
    </row>
    <row r="82" spans="1:8">
      <c r="A82" s="93"/>
      <c r="B82" s="94"/>
      <c r="C82" s="94"/>
      <c r="D82" s="95"/>
      <c r="E82" s="94"/>
    </row>
    <row r="83" spans="1:8">
      <c r="A83" s="93"/>
      <c r="B83" s="94"/>
      <c r="C83" s="94"/>
      <c r="D83" s="95"/>
      <c r="E83" s="94"/>
    </row>
    <row r="84" spans="1:8">
      <c r="A84" s="93"/>
      <c r="B84" s="94"/>
      <c r="C84" s="94"/>
      <c r="D84" s="95"/>
      <c r="E84" s="94"/>
    </row>
    <row r="85" spans="1:8">
      <c r="A85" s="93"/>
      <c r="B85" s="94"/>
      <c r="C85" s="94"/>
      <c r="D85" s="95"/>
      <c r="E85" s="94"/>
    </row>
    <row r="86" spans="1:8">
      <c r="A86" s="93"/>
      <c r="B86" s="94"/>
      <c r="C86" s="94"/>
      <c r="D86" s="95"/>
      <c r="E86" s="94"/>
    </row>
    <row r="87" spans="1:8">
      <c r="A87" s="93"/>
      <c r="B87" s="94"/>
      <c r="C87" s="94"/>
      <c r="D87" s="95"/>
      <c r="E87" s="94"/>
    </row>
    <row r="88" spans="1:8">
      <c r="A88" s="96" t="s">
        <v>96</v>
      </c>
      <c r="B88" s="97"/>
      <c r="C88" s="97"/>
      <c r="D88" s="98"/>
      <c r="E88" s="97"/>
    </row>
    <row r="89" spans="1:8">
      <c r="A89" s="99" t="s">
        <v>350</v>
      </c>
      <c r="B89" s="100"/>
      <c r="C89" s="100"/>
      <c r="D89" s="101"/>
      <c r="E89" s="100"/>
    </row>
    <row r="90" spans="1:8">
      <c r="A90" s="817" t="s">
        <v>291</v>
      </c>
      <c r="B90" s="102" t="s">
        <v>66</v>
      </c>
      <c r="C90" s="88" t="s">
        <v>351</v>
      </c>
      <c r="D90" s="88" t="s">
        <v>305</v>
      </c>
      <c r="E90" s="818" t="s">
        <v>306</v>
      </c>
    </row>
    <row r="91" spans="1:8">
      <c r="A91" s="817"/>
      <c r="B91" s="103" t="s">
        <v>96</v>
      </c>
      <c r="C91" s="88"/>
      <c r="D91" s="88" t="s">
        <v>149</v>
      </c>
      <c r="E91" s="819"/>
    </row>
    <row r="92" spans="1:8">
      <c r="A92" s="82" t="s">
        <v>352</v>
      </c>
      <c r="B92" s="84"/>
      <c r="C92" s="84"/>
      <c r="D92" s="85"/>
      <c r="E92" s="84"/>
    </row>
    <row r="93" spans="1:8" ht="20.25">
      <c r="A93" s="134" t="s">
        <v>408</v>
      </c>
      <c r="B93" s="469">
        <v>169499</v>
      </c>
      <c r="C93" s="469">
        <v>158786</v>
      </c>
      <c r="D93" s="470" t="s">
        <v>305</v>
      </c>
      <c r="E93" s="469">
        <f t="shared" ref="E93:E100" si="4">B93-C93</f>
        <v>10713</v>
      </c>
    </row>
    <row r="94" spans="1:8" ht="20.25">
      <c r="A94" s="121" t="s">
        <v>411</v>
      </c>
      <c r="B94" s="471">
        <v>11044000</v>
      </c>
      <c r="C94" s="471">
        <v>11043200</v>
      </c>
      <c r="D94" s="472" t="s">
        <v>305</v>
      </c>
      <c r="E94" s="471">
        <f t="shared" si="4"/>
        <v>800</v>
      </c>
      <c r="F94" s="104"/>
      <c r="G94" s="104"/>
      <c r="H94" s="104"/>
    </row>
    <row r="95" spans="1:8" ht="20.25">
      <c r="A95" s="121" t="s">
        <v>413</v>
      </c>
      <c r="B95" s="471">
        <v>3039200</v>
      </c>
      <c r="C95" s="471">
        <v>3039200</v>
      </c>
      <c r="D95" s="472" t="s">
        <v>322</v>
      </c>
      <c r="E95" s="471">
        <f t="shared" si="4"/>
        <v>0</v>
      </c>
      <c r="F95" s="104"/>
      <c r="G95" s="104"/>
      <c r="H95" s="104"/>
    </row>
    <row r="96" spans="1:8" ht="20.25">
      <c r="A96" s="121" t="s">
        <v>414</v>
      </c>
      <c r="B96" s="471">
        <v>17000</v>
      </c>
      <c r="C96" s="471">
        <v>17000</v>
      </c>
      <c r="D96" s="472" t="s">
        <v>322</v>
      </c>
      <c r="E96" s="471">
        <f t="shared" si="4"/>
        <v>0</v>
      </c>
    </row>
    <row r="97" spans="1:7" ht="20.25">
      <c r="A97" s="121" t="s">
        <v>415</v>
      </c>
      <c r="B97" s="471">
        <v>500000</v>
      </c>
      <c r="C97" s="471">
        <v>247170</v>
      </c>
      <c r="D97" s="472" t="s">
        <v>305</v>
      </c>
      <c r="E97" s="471">
        <f t="shared" si="4"/>
        <v>252830</v>
      </c>
    </row>
    <row r="98" spans="1:7" ht="20.25">
      <c r="A98" s="121" t="s">
        <v>416</v>
      </c>
      <c r="B98" s="471">
        <v>140000</v>
      </c>
      <c r="C98" s="471">
        <v>140000</v>
      </c>
      <c r="D98" s="472" t="s">
        <v>322</v>
      </c>
      <c r="E98" s="471">
        <f t="shared" si="4"/>
        <v>0</v>
      </c>
    </row>
    <row r="99" spans="1:7" ht="20.25">
      <c r="A99" s="121" t="s">
        <v>417</v>
      </c>
      <c r="B99" s="471">
        <v>190701</v>
      </c>
      <c r="C99" s="471">
        <v>190700.45</v>
      </c>
      <c r="D99" s="472" t="s">
        <v>322</v>
      </c>
      <c r="E99" s="471">
        <f t="shared" si="4"/>
        <v>0.54999999998835847</v>
      </c>
    </row>
    <row r="100" spans="1:7" ht="20.25">
      <c r="A100" s="126" t="s">
        <v>1044</v>
      </c>
      <c r="B100" s="473">
        <v>10000</v>
      </c>
      <c r="C100" s="473">
        <v>6820</v>
      </c>
      <c r="D100" s="474" t="s">
        <v>305</v>
      </c>
      <c r="E100" s="473">
        <f t="shared" si="4"/>
        <v>3180</v>
      </c>
    </row>
    <row r="101" spans="1:7">
      <c r="A101" s="89" t="s">
        <v>353</v>
      </c>
      <c r="B101" s="87">
        <f>SUM(B93:B100)</f>
        <v>15110400</v>
      </c>
      <c r="C101" s="87">
        <f>SUM(C93:C100)</f>
        <v>14842876.449999999</v>
      </c>
      <c r="D101" s="88" t="s">
        <v>305</v>
      </c>
      <c r="E101" s="87">
        <f>SUM(E93:E100)</f>
        <v>267523.55</v>
      </c>
      <c r="F101" s="104"/>
      <c r="G101" s="104"/>
    </row>
    <row r="102" spans="1:7">
      <c r="A102" s="89"/>
      <c r="B102" s="87"/>
      <c r="C102" s="87"/>
      <c r="D102" s="85"/>
      <c r="E102" s="87"/>
    </row>
    <row r="103" spans="1:7">
      <c r="A103" s="82" t="s">
        <v>354</v>
      </c>
      <c r="B103" s="84"/>
      <c r="C103" s="84"/>
      <c r="D103" s="85"/>
      <c r="E103" s="84">
        <f t="shared" ref="E103:E108" si="5">B103-C103</f>
        <v>0</v>
      </c>
    </row>
    <row r="104" spans="1:7" ht="20.25">
      <c r="A104" s="475" t="s">
        <v>355</v>
      </c>
      <c r="B104" s="119">
        <f>514080-50000-25000-300000-100000-30000</f>
        <v>9080</v>
      </c>
      <c r="C104" s="119">
        <v>0</v>
      </c>
      <c r="D104" s="470" t="s">
        <v>305</v>
      </c>
      <c r="E104" s="469">
        <f t="shared" si="5"/>
        <v>9080</v>
      </c>
    </row>
    <row r="105" spans="1:7" ht="20.25">
      <c r="A105" s="476" t="s">
        <v>356</v>
      </c>
      <c r="B105" s="105">
        <f>42120-40000</f>
        <v>2120</v>
      </c>
      <c r="C105" s="105">
        <v>0</v>
      </c>
      <c r="D105" s="472" t="s">
        <v>305</v>
      </c>
      <c r="E105" s="471">
        <f t="shared" si="5"/>
        <v>2120</v>
      </c>
    </row>
    <row r="106" spans="1:7" ht="20.25">
      <c r="A106" s="476" t="s">
        <v>357</v>
      </c>
      <c r="B106" s="105">
        <f>42120-30000</f>
        <v>12120</v>
      </c>
      <c r="C106" s="105">
        <v>0</v>
      </c>
      <c r="D106" s="472" t="s">
        <v>305</v>
      </c>
      <c r="E106" s="471">
        <f t="shared" si="5"/>
        <v>12120</v>
      </c>
    </row>
    <row r="107" spans="1:7" ht="20.25">
      <c r="A107" s="476" t="s">
        <v>358</v>
      </c>
      <c r="B107" s="105">
        <f>86400-86400</f>
        <v>0</v>
      </c>
      <c r="C107" s="105">
        <v>0</v>
      </c>
      <c r="D107" s="472" t="s">
        <v>149</v>
      </c>
      <c r="E107" s="471">
        <f t="shared" si="5"/>
        <v>0</v>
      </c>
    </row>
    <row r="108" spans="1:7" ht="20.25">
      <c r="A108" s="477" t="s">
        <v>359</v>
      </c>
      <c r="B108" s="106">
        <f>3096000</f>
        <v>3096000</v>
      </c>
      <c r="C108" s="106">
        <v>2836800</v>
      </c>
      <c r="D108" s="474" t="s">
        <v>305</v>
      </c>
      <c r="E108" s="473">
        <f t="shared" si="5"/>
        <v>259200</v>
      </c>
    </row>
    <row r="109" spans="1:7">
      <c r="A109" s="89" t="s">
        <v>360</v>
      </c>
      <c r="B109" s="87">
        <f>SUM(B104:B108)</f>
        <v>3119320</v>
      </c>
      <c r="C109" s="87">
        <f>SUM(C104:C108)</f>
        <v>2836800</v>
      </c>
      <c r="D109" s="88" t="s">
        <v>305</v>
      </c>
      <c r="E109" s="87">
        <f>SUM(E104:E108)</f>
        <v>282520</v>
      </c>
    </row>
    <row r="110" spans="1:7">
      <c r="A110" s="89"/>
      <c r="B110" s="87"/>
      <c r="C110" s="87"/>
      <c r="D110" s="88"/>
      <c r="E110" s="87"/>
    </row>
    <row r="111" spans="1:7">
      <c r="A111" s="90" t="s">
        <v>361</v>
      </c>
      <c r="B111" s="87"/>
      <c r="C111" s="87"/>
      <c r="D111" s="88"/>
      <c r="E111" s="87"/>
    </row>
    <row r="112" spans="1:7">
      <c r="A112" s="475" t="s">
        <v>362</v>
      </c>
      <c r="B112" s="469">
        <f>'Sheet3 (โอน)'!D24+'Sheet3 (โอน)'!D32+'Sheet3 (โอน)'!D40+'Sheet3 (โอน)'!D47+'Sheet3 (โอน)'!D54+'Sheet3 (โอน)'!D61+'Sheet3 (โอน)'!D67+'Sheet3 (โอน)'!D74</f>
        <v>7330740</v>
      </c>
      <c r="C112" s="469">
        <f>'Sheet3 (โอน)'!E24+'Sheet3 (โอน)'!E32+'Sheet3 (โอน)'!E40+'Sheet3 (โอน)'!E47+'Sheet3 (โอน)'!E54+'Sheet3 (โอน)'!E61+'Sheet3 (โอน)'!E67+'Sheet3 (โอน)'!E74</f>
        <v>6323170</v>
      </c>
      <c r="D112" s="470" t="s">
        <v>305</v>
      </c>
      <c r="E112" s="469">
        <f>B112-C112</f>
        <v>1007570</v>
      </c>
    </row>
    <row r="113" spans="1:6">
      <c r="A113" s="476" t="s">
        <v>363</v>
      </c>
      <c r="B113" s="471">
        <f>'Sheet3 (โอน)'!D25+'Sheet3 (โอน)'!D33</f>
        <v>103560</v>
      </c>
      <c r="C113" s="471">
        <f>'Sheet3 (โอน)'!E25+'Sheet3 (โอน)'!E33</f>
        <v>84000</v>
      </c>
      <c r="D113" s="472" t="s">
        <v>305</v>
      </c>
      <c r="E113" s="471">
        <f>B113-C113</f>
        <v>19560</v>
      </c>
    </row>
    <row r="114" spans="1:6">
      <c r="A114" s="476" t="s">
        <v>364</v>
      </c>
      <c r="B114" s="471">
        <f>'Sheet3 (โอน)'!D26+'Sheet3 (โอน)'!D34+'Sheet3 (โอน)'!D41+'Sheet3 (โอน)'!D48+'Sheet3 (โอน)'!D55+'Sheet3 (โอน)'!D62+'Sheet3 (โอน)'!D68+'Sheet3 (โอน)'!D75</f>
        <v>494000</v>
      </c>
      <c r="C114" s="471">
        <f>'Sheet3 (โอน)'!E26+'Sheet3 (โอน)'!E34+'Sheet3 (โอน)'!E41+'Sheet3 (โอน)'!E48+'Sheet3 (โอน)'!E55+'Sheet3 (โอน)'!E62+'Sheet3 (โอน)'!E68+'Sheet3 (โอน)'!E75</f>
        <v>378000</v>
      </c>
      <c r="D114" s="472" t="s">
        <v>305</v>
      </c>
      <c r="E114" s="471">
        <f>B114-C114</f>
        <v>116000</v>
      </c>
    </row>
    <row r="115" spans="1:6">
      <c r="A115" s="476" t="s">
        <v>365</v>
      </c>
      <c r="B115" s="471">
        <f>'Sheet3 (โอน)'!D28+'Sheet3 (โอน)'!D36+'Sheet3 (โอน)'!D43+'Sheet3 (โอน)'!D50+'Sheet3 (โอน)'!D57+'Sheet3 (โอน)'!D64+'Sheet3 (โอน)'!D70+'Sheet3 (โอน)'!D77</f>
        <v>3013960</v>
      </c>
      <c r="C115" s="471">
        <f>'Sheet3 (โอน)'!E28+'Sheet3 (โอน)'!E36+'Sheet3 (โอน)'!E43+'Sheet3 (โอน)'!E50+'Sheet3 (โอน)'!E57+'Sheet3 (โอน)'!E64+'Sheet3 (โอน)'!E70+'Sheet3 (โอน)'!E77</f>
        <v>2961466</v>
      </c>
      <c r="D115" s="472" t="s">
        <v>305</v>
      </c>
      <c r="E115" s="471">
        <f>B115-C115</f>
        <v>52494</v>
      </c>
    </row>
    <row r="116" spans="1:6">
      <c r="A116" s="477" t="s">
        <v>366</v>
      </c>
      <c r="B116" s="473">
        <f>'Sheet3 (โอน)'!D29+'Sheet3 (โอน)'!D37+'Sheet3 (โอน)'!D44+'Sheet3 (โอน)'!D51+'Sheet3 (โอน)'!D58+'Sheet3 (โอน)'!D71+'Sheet3 (โอน)'!D78</f>
        <v>259260</v>
      </c>
      <c r="C116" s="473">
        <f>'Sheet3 (โอน)'!E29+'Sheet3 (โอน)'!E37+'Sheet3 (โอน)'!E44+'Sheet3 (โอน)'!E51+'Sheet3 (โอน)'!E58+'Sheet3 (โอน)'!E71+'Sheet3 (โอน)'!E78</f>
        <v>240293</v>
      </c>
      <c r="D116" s="474" t="s">
        <v>305</v>
      </c>
      <c r="E116" s="473">
        <f>B116-C116</f>
        <v>18967</v>
      </c>
    </row>
    <row r="117" spans="1:6">
      <c r="A117" s="89" t="s">
        <v>367</v>
      </c>
      <c r="B117" s="87">
        <f>SUM(B112:B116)</f>
        <v>11201520</v>
      </c>
      <c r="C117" s="87">
        <f>SUM(C112:C116)</f>
        <v>9986929</v>
      </c>
      <c r="D117" s="88" t="s">
        <v>305</v>
      </c>
      <c r="E117" s="87">
        <f>SUM(E112:E116)</f>
        <v>1214591</v>
      </c>
      <c r="F117" s="104">
        <v>11201520</v>
      </c>
    </row>
    <row r="118" spans="1:6">
      <c r="A118" s="89"/>
      <c r="B118" s="87"/>
      <c r="C118" s="87"/>
      <c r="D118" s="88"/>
      <c r="E118" s="87"/>
    </row>
    <row r="119" spans="1:6">
      <c r="A119" s="82" t="s">
        <v>368</v>
      </c>
      <c r="B119" s="84"/>
      <c r="C119" s="84"/>
      <c r="D119" s="85"/>
      <c r="E119" s="84">
        <f t="shared" ref="E119:E126" si="6">B119-C119</f>
        <v>0</v>
      </c>
    </row>
    <row r="120" spans="1:6">
      <c r="A120" s="82" t="s">
        <v>369</v>
      </c>
      <c r="B120" s="84"/>
      <c r="C120" s="84"/>
      <c r="D120" s="85"/>
      <c r="E120" s="84">
        <f t="shared" si="6"/>
        <v>0</v>
      </c>
    </row>
    <row r="121" spans="1:6">
      <c r="A121" s="475" t="s">
        <v>370</v>
      </c>
      <c r="B121" s="469">
        <f>'Sheet3 (โอน)'!D83+'Sheet3 (โอน)'!D89+'Sheet3 (โอน)'!D92+'Sheet3 (โอน)'!D98+'Sheet3 (โอน)'!D104+'Sheet3 (โอน)'!D108+'Sheet3 (โอน)'!D113+'Sheet3 (โอน)'!D119+'Sheet3 (โอน)'!D125</f>
        <v>400840</v>
      </c>
      <c r="C121" s="469">
        <f>'Sheet3 (โอน)'!E83+'Sheet3 (โอน)'!E89+'Sheet3 (โอน)'!E92+'Sheet3 (โอน)'!E98+'Sheet3 (โอน)'!E104+'Sheet3 (โอน)'!E108+'Sheet3 (โอน)'!E113+'Sheet3 (โอน)'!E119+'Sheet3 (โอน)'!E125</f>
        <v>148400</v>
      </c>
      <c r="D121" s="470" t="s">
        <v>305</v>
      </c>
      <c r="E121" s="469">
        <f t="shared" si="6"/>
        <v>252440</v>
      </c>
    </row>
    <row r="122" spans="1:6">
      <c r="A122" s="476" t="s">
        <v>371</v>
      </c>
      <c r="B122" s="471">
        <f>'Sheet3 (โอน)'!D84+'Sheet3 (โอน)'!D93+'Sheet3 (โอน)'!D99+'Sheet3 (โอน)'!D105+'Sheet3 (โอน)'!D109+'Sheet3 (โอน)'!D114+'Sheet3 (โอน)'!D120+'Sheet3 (โอน)'!D126</f>
        <v>80000</v>
      </c>
      <c r="C122" s="471">
        <f>'Sheet3 (โอน)'!E84+'Sheet3 (โอน)'!E93+'Sheet3 (โอน)'!E99+'Sheet3 (โอน)'!E105+'Sheet3 (โอน)'!E109+'Sheet3 (โอน)'!E114+'Sheet3 (โอน)'!E120+'Sheet3 (โอน)'!E126</f>
        <v>0</v>
      </c>
      <c r="D122" s="472" t="s">
        <v>305</v>
      </c>
      <c r="E122" s="471">
        <f t="shared" si="6"/>
        <v>80000</v>
      </c>
    </row>
    <row r="123" spans="1:6">
      <c r="A123" s="476" t="s">
        <v>372</v>
      </c>
      <c r="B123" s="471">
        <f>'Sheet3 (โอน)'!D85+'Sheet3 (โอน)'!D94+'Sheet3 (โอน)'!D100+'Sheet3 (โอน)'!D116+'Sheet3 (โอน)'!D121+'Sheet3 (โอน)'!D127</f>
        <v>360000</v>
      </c>
      <c r="C123" s="471">
        <f>'Sheet3 (โอน)'!E85+'Sheet3 (โอน)'!E94+'Sheet3 (โอน)'!E100+'Sheet3 (โอน)'!E116+'Sheet3 (โอน)'!E121+'Sheet3 (โอน)'!E127</f>
        <v>271300</v>
      </c>
      <c r="D123" s="472" t="s">
        <v>305</v>
      </c>
      <c r="E123" s="471">
        <f t="shared" si="6"/>
        <v>88700</v>
      </c>
    </row>
    <row r="124" spans="1:6">
      <c r="A124" s="476" t="s">
        <v>373</v>
      </c>
      <c r="B124" s="471">
        <f>'Sheet3 (โอน)'!D86+'Sheet3 (โอน)'!D95+'Sheet3 (โอน)'!D101+'Sheet3 (โอน)'!D106+'Sheet3 (โอน)'!D110+'Sheet3 (โอน)'!D115+'Sheet3 (โอน)'!D122</f>
        <v>98000</v>
      </c>
      <c r="C124" s="471">
        <f>'Sheet3 (โอน)'!E86+'Sheet3 (โอน)'!E95+'Sheet3 (โอน)'!E101+'Sheet3 (โอน)'!E106+'Sheet3 (โอน)'!E110+'Sheet3 (โอน)'!E115+'Sheet3 (โอน)'!E122</f>
        <v>36700</v>
      </c>
      <c r="D124" s="472" t="s">
        <v>305</v>
      </c>
      <c r="E124" s="471">
        <f t="shared" si="6"/>
        <v>61300</v>
      </c>
    </row>
    <row r="125" spans="1:6">
      <c r="A125" s="477"/>
      <c r="B125" s="473"/>
      <c r="C125" s="473"/>
      <c r="D125" s="474"/>
      <c r="E125" s="473"/>
    </row>
    <row r="126" spans="1:6">
      <c r="A126" s="89" t="s">
        <v>374</v>
      </c>
      <c r="B126" s="87">
        <f>SUM(B121:B125)</f>
        <v>938840</v>
      </c>
      <c r="C126" s="87">
        <f>SUM(C121:C125)</f>
        <v>456400</v>
      </c>
      <c r="D126" s="88" t="s">
        <v>305</v>
      </c>
      <c r="E126" s="87">
        <f t="shared" si="6"/>
        <v>482440</v>
      </c>
      <c r="F126" s="104"/>
    </row>
    <row r="127" spans="1:6">
      <c r="A127" s="82" t="s">
        <v>375</v>
      </c>
      <c r="B127" s="84"/>
      <c r="C127" s="84"/>
      <c r="D127" s="85"/>
      <c r="E127" s="84"/>
    </row>
    <row r="128" spans="1:6" ht="20.25">
      <c r="A128" s="120" t="s">
        <v>489</v>
      </c>
      <c r="B128" s="119">
        <f>'Sheet3 (โอน)'!D132+'Sheet3 (โอน)'!D157+'Sheet3 (โอน)'!D165+'Sheet3 (โอน)'!D191+'Sheet3 (โอน)'!D197+'Sheet3 (โอน)'!D201+'Sheet3 (โอน)'!D205+'Sheet3 (โอน)'!D211+'Sheet3 (โอน)'!D221+'Sheet3 (โอน)'!D238</f>
        <v>1079377</v>
      </c>
      <c r="C128" s="119">
        <f>'Sheet3 (โอน)'!E132+'Sheet3 (โอน)'!E157+'Sheet3 (โอน)'!E165+'Sheet3 (โอน)'!E191+'Sheet3 (โอน)'!E197+'Sheet3 (โอน)'!E201+'Sheet3 (โอน)'!E205+'Sheet3 (โอน)'!E211+'Sheet3 (โอน)'!E221+'Sheet3 (โอน)'!E238</f>
        <v>522538</v>
      </c>
      <c r="D128" s="470" t="s">
        <v>305</v>
      </c>
      <c r="E128" s="469">
        <f>B128-C128</f>
        <v>556839</v>
      </c>
    </row>
    <row r="129" spans="1:5" ht="20.25">
      <c r="A129" s="123" t="s">
        <v>490</v>
      </c>
      <c r="B129" s="105">
        <f>'Sheet3 (โอน)'!D133+'Sheet3 (โอน)'!D166+'Sheet3 (โอน)'!D184+'Sheet3 (โอน)'!D212+'Sheet3 (โอน)'!D222</f>
        <v>200000</v>
      </c>
      <c r="C129" s="105">
        <f>'Sheet3 (โอน)'!E133+'Sheet3 (โอน)'!E166+'Sheet3 (โอน)'!E184+'Sheet3 (โอน)'!E212+'Sheet3 (โอน)'!E222</f>
        <v>131945</v>
      </c>
      <c r="D129" s="472" t="s">
        <v>305</v>
      </c>
      <c r="E129" s="471">
        <f>B129-C129</f>
        <v>68055</v>
      </c>
    </row>
    <row r="130" spans="1:5" ht="20.25">
      <c r="A130" s="123" t="s">
        <v>491</v>
      </c>
      <c r="B130" s="105"/>
      <c r="C130" s="124"/>
      <c r="D130" s="472"/>
      <c r="E130" s="471"/>
    </row>
    <row r="131" spans="1:5" ht="20.25">
      <c r="A131" s="123" t="s">
        <v>866</v>
      </c>
      <c r="B131" s="105">
        <f>100000+50000+86400</f>
        <v>236400</v>
      </c>
      <c r="C131" s="124">
        <v>171582</v>
      </c>
      <c r="D131" s="472" t="s">
        <v>305</v>
      </c>
      <c r="E131" s="471">
        <f>B131-C131</f>
        <v>64818</v>
      </c>
    </row>
    <row r="132" spans="1:5" ht="20.25">
      <c r="A132" s="123" t="s">
        <v>493</v>
      </c>
      <c r="B132" s="105">
        <v>50000</v>
      </c>
      <c r="C132" s="124">
        <v>6735</v>
      </c>
      <c r="D132" s="472" t="s">
        <v>305</v>
      </c>
      <c r="E132" s="471">
        <f>B132-C132</f>
        <v>43265</v>
      </c>
    </row>
    <row r="133" spans="1:5" ht="20.25">
      <c r="A133" s="188" t="s">
        <v>494</v>
      </c>
      <c r="B133" s="105">
        <f>300000-300000</f>
        <v>0</v>
      </c>
      <c r="C133" s="124">
        <v>0</v>
      </c>
      <c r="D133" s="472" t="s">
        <v>149</v>
      </c>
      <c r="E133" s="471">
        <f>B133-C133</f>
        <v>0</v>
      </c>
    </row>
    <row r="134" spans="1:5" ht="20.25">
      <c r="A134" s="188" t="s">
        <v>867</v>
      </c>
      <c r="B134" s="105">
        <v>10000</v>
      </c>
      <c r="C134" s="124">
        <v>6610</v>
      </c>
      <c r="D134" s="472" t="s">
        <v>305</v>
      </c>
      <c r="E134" s="471">
        <f t="shared" ref="E134:E181" si="7">B134-C134</f>
        <v>3390</v>
      </c>
    </row>
    <row r="135" spans="1:5" ht="20.25">
      <c r="A135" s="188" t="s">
        <v>868</v>
      </c>
      <c r="B135" s="105">
        <v>10000</v>
      </c>
      <c r="C135" s="124">
        <v>9400</v>
      </c>
      <c r="D135" s="472" t="s">
        <v>305</v>
      </c>
      <c r="E135" s="471">
        <f t="shared" si="7"/>
        <v>600</v>
      </c>
    </row>
    <row r="136" spans="1:5" ht="20.25">
      <c r="A136" s="188" t="s">
        <v>869</v>
      </c>
      <c r="B136" s="105">
        <v>10000</v>
      </c>
      <c r="C136" s="124">
        <v>0</v>
      </c>
      <c r="D136" s="472" t="s">
        <v>305</v>
      </c>
      <c r="E136" s="471">
        <f t="shared" si="7"/>
        <v>10000</v>
      </c>
    </row>
    <row r="137" spans="1:5" ht="20.25">
      <c r="A137" s="188" t="s">
        <v>870</v>
      </c>
      <c r="B137" s="105">
        <v>20000</v>
      </c>
      <c r="C137" s="124">
        <v>0</v>
      </c>
      <c r="D137" s="472" t="s">
        <v>305</v>
      </c>
      <c r="E137" s="471">
        <f t="shared" si="7"/>
        <v>20000</v>
      </c>
    </row>
    <row r="138" spans="1:5" ht="20.25">
      <c r="A138" s="188" t="s">
        <v>871</v>
      </c>
      <c r="B138" s="105">
        <v>20000</v>
      </c>
      <c r="C138" s="124">
        <v>4150</v>
      </c>
      <c r="D138" s="472" t="s">
        <v>305</v>
      </c>
      <c r="E138" s="471">
        <f t="shared" si="7"/>
        <v>15850</v>
      </c>
    </row>
    <row r="139" spans="1:5" ht="20.25">
      <c r="A139" s="188" t="s">
        <v>872</v>
      </c>
      <c r="B139" s="105">
        <v>25000</v>
      </c>
      <c r="C139" s="124">
        <f>20403+4597</f>
        <v>25000</v>
      </c>
      <c r="D139" s="472" t="s">
        <v>149</v>
      </c>
      <c r="E139" s="471">
        <f t="shared" si="7"/>
        <v>0</v>
      </c>
    </row>
    <row r="140" spans="1:5" ht="20.25">
      <c r="A140" s="188" t="s">
        <v>873</v>
      </c>
      <c r="B140" s="105">
        <f>300000+100000</f>
        <v>400000</v>
      </c>
      <c r="C140" s="124">
        <v>383000</v>
      </c>
      <c r="D140" s="472" t="s">
        <v>305</v>
      </c>
      <c r="E140" s="471">
        <f t="shared" si="7"/>
        <v>17000</v>
      </c>
    </row>
    <row r="141" spans="1:5" ht="20.25">
      <c r="A141" s="123" t="s">
        <v>874</v>
      </c>
      <c r="B141" s="105">
        <v>50000</v>
      </c>
      <c r="C141" s="124">
        <v>37137.800000000003</v>
      </c>
      <c r="D141" s="472" t="s">
        <v>305</v>
      </c>
      <c r="E141" s="471">
        <f t="shared" si="7"/>
        <v>12862.199999999997</v>
      </c>
    </row>
    <row r="142" spans="1:5" ht="20.25">
      <c r="A142" s="123" t="s">
        <v>498</v>
      </c>
      <c r="B142" s="105">
        <v>20000</v>
      </c>
      <c r="C142" s="124">
        <v>0</v>
      </c>
      <c r="D142" s="472" t="s">
        <v>305</v>
      </c>
      <c r="E142" s="471">
        <f t="shared" si="7"/>
        <v>20000</v>
      </c>
    </row>
    <row r="143" spans="1:5" ht="20.25">
      <c r="A143" s="123" t="s">
        <v>875</v>
      </c>
      <c r="B143" s="105">
        <v>10000</v>
      </c>
      <c r="C143" s="124">
        <v>0</v>
      </c>
      <c r="D143" s="472" t="s">
        <v>305</v>
      </c>
      <c r="E143" s="471">
        <f t="shared" si="7"/>
        <v>10000</v>
      </c>
    </row>
    <row r="144" spans="1:5" ht="20.25">
      <c r="A144" s="123" t="s">
        <v>876</v>
      </c>
      <c r="B144" s="105">
        <v>10000</v>
      </c>
      <c r="C144" s="124">
        <v>3150</v>
      </c>
      <c r="D144" s="472" t="s">
        <v>305</v>
      </c>
      <c r="E144" s="471">
        <f t="shared" si="7"/>
        <v>6850</v>
      </c>
    </row>
    <row r="145" spans="1:5" ht="20.25">
      <c r="A145" s="123" t="s">
        <v>877</v>
      </c>
      <c r="B145" s="105">
        <v>10000</v>
      </c>
      <c r="C145" s="124">
        <v>0</v>
      </c>
      <c r="D145" s="472" t="s">
        <v>305</v>
      </c>
      <c r="E145" s="471">
        <f t="shared" si="7"/>
        <v>10000</v>
      </c>
    </row>
    <row r="146" spans="1:5" ht="20.25">
      <c r="A146" s="123" t="s">
        <v>878</v>
      </c>
      <c r="B146" s="105">
        <v>50000</v>
      </c>
      <c r="C146" s="124">
        <v>0</v>
      </c>
      <c r="D146" s="472" t="s">
        <v>305</v>
      </c>
      <c r="E146" s="471">
        <f t="shared" si="7"/>
        <v>50000</v>
      </c>
    </row>
    <row r="147" spans="1:5" ht="20.25">
      <c r="A147" s="123" t="s">
        <v>879</v>
      </c>
      <c r="B147" s="356">
        <f>40000+40000+40000+30000</f>
        <v>150000</v>
      </c>
      <c r="C147" s="357">
        <v>115076</v>
      </c>
      <c r="D147" s="472" t="s">
        <v>305</v>
      </c>
      <c r="E147" s="471">
        <f t="shared" si="7"/>
        <v>34924</v>
      </c>
    </row>
    <row r="148" spans="1:5" ht="20.25">
      <c r="A148" s="123" t="s">
        <v>501</v>
      </c>
      <c r="B148" s="356">
        <f>100000-30000</f>
        <v>70000</v>
      </c>
      <c r="C148" s="357">
        <v>0</v>
      </c>
      <c r="D148" s="472" t="s">
        <v>305</v>
      </c>
      <c r="E148" s="471">
        <f t="shared" si="7"/>
        <v>70000</v>
      </c>
    </row>
    <row r="149" spans="1:5" ht="20.25">
      <c r="A149" s="123" t="s">
        <v>880</v>
      </c>
      <c r="B149" s="105">
        <v>0</v>
      </c>
      <c r="C149" s="180">
        <v>0</v>
      </c>
      <c r="D149" s="472" t="s">
        <v>149</v>
      </c>
      <c r="E149" s="471">
        <f t="shared" si="7"/>
        <v>0</v>
      </c>
    </row>
    <row r="150" spans="1:5" ht="20.25">
      <c r="A150" s="123" t="s">
        <v>492</v>
      </c>
      <c r="B150" s="105">
        <f>20000</f>
        <v>20000</v>
      </c>
      <c r="C150" s="124">
        <v>14466</v>
      </c>
      <c r="D150" s="472" t="s">
        <v>305</v>
      </c>
      <c r="E150" s="471">
        <f t="shared" si="7"/>
        <v>5534</v>
      </c>
    </row>
    <row r="151" spans="1:5" ht="20.25">
      <c r="A151" s="197" t="s">
        <v>881</v>
      </c>
      <c r="B151" s="105">
        <v>10000</v>
      </c>
      <c r="C151" s="124">
        <v>0</v>
      </c>
      <c r="D151" s="472" t="s">
        <v>305</v>
      </c>
      <c r="E151" s="471">
        <f t="shared" si="7"/>
        <v>10000</v>
      </c>
    </row>
    <row r="152" spans="1:5" ht="20.25">
      <c r="A152" s="197" t="s">
        <v>882</v>
      </c>
      <c r="B152" s="105">
        <v>30000</v>
      </c>
      <c r="C152" s="124">
        <v>22986</v>
      </c>
      <c r="D152" s="472" t="s">
        <v>305</v>
      </c>
      <c r="E152" s="471">
        <f t="shared" si="7"/>
        <v>7014</v>
      </c>
    </row>
    <row r="153" spans="1:5" ht="20.25">
      <c r="A153" s="123" t="s">
        <v>507</v>
      </c>
      <c r="B153" s="105">
        <f>455700+43200</f>
        <v>498900</v>
      </c>
      <c r="C153" s="124">
        <v>498900</v>
      </c>
      <c r="D153" s="472" t="s">
        <v>305</v>
      </c>
      <c r="E153" s="471">
        <f t="shared" si="7"/>
        <v>0</v>
      </c>
    </row>
    <row r="154" spans="1:5" ht="20.25">
      <c r="A154" s="123" t="s">
        <v>883</v>
      </c>
      <c r="B154" s="105">
        <v>171700</v>
      </c>
      <c r="C154" s="124">
        <v>158100</v>
      </c>
      <c r="D154" s="472" t="s">
        <v>305</v>
      </c>
      <c r="E154" s="471">
        <f t="shared" si="7"/>
        <v>13600</v>
      </c>
    </row>
    <row r="155" spans="1:5" ht="20.25">
      <c r="A155" s="123" t="s">
        <v>884</v>
      </c>
      <c r="B155" s="105">
        <v>56500</v>
      </c>
      <c r="C155" s="124">
        <v>56500</v>
      </c>
      <c r="D155" s="472" t="s">
        <v>305</v>
      </c>
      <c r="E155" s="471">
        <f t="shared" si="7"/>
        <v>0</v>
      </c>
    </row>
    <row r="156" spans="1:5" ht="20.25">
      <c r="A156" s="123" t="s">
        <v>508</v>
      </c>
      <c r="B156" s="105">
        <f>30000+50000</f>
        <v>80000</v>
      </c>
      <c r="C156" s="124">
        <v>66404</v>
      </c>
      <c r="D156" s="472" t="s">
        <v>305</v>
      </c>
      <c r="E156" s="471">
        <f t="shared" si="7"/>
        <v>13596</v>
      </c>
    </row>
    <row r="157" spans="1:5" ht="20.25">
      <c r="A157" s="123" t="s">
        <v>885</v>
      </c>
      <c r="B157" s="105">
        <v>60000</v>
      </c>
      <c r="C157" s="124">
        <v>46750</v>
      </c>
      <c r="D157" s="472" t="s">
        <v>305</v>
      </c>
      <c r="E157" s="471">
        <f t="shared" si="7"/>
        <v>13250</v>
      </c>
    </row>
    <row r="158" spans="1:5" ht="20.25">
      <c r="A158" s="123" t="s">
        <v>511</v>
      </c>
      <c r="B158" s="105">
        <f>70000-70000</f>
        <v>0</v>
      </c>
      <c r="C158" s="124">
        <v>0</v>
      </c>
      <c r="D158" s="472" t="s">
        <v>149</v>
      </c>
      <c r="E158" s="471">
        <f t="shared" si="7"/>
        <v>0</v>
      </c>
    </row>
    <row r="159" spans="1:5" ht="20.25">
      <c r="A159" s="188" t="s">
        <v>516</v>
      </c>
      <c r="B159" s="105">
        <v>30000</v>
      </c>
      <c r="C159" s="105">
        <v>18255</v>
      </c>
      <c r="D159" s="472" t="s">
        <v>305</v>
      </c>
      <c r="E159" s="471">
        <f t="shared" si="7"/>
        <v>11745</v>
      </c>
    </row>
    <row r="160" spans="1:5" ht="20.25">
      <c r="A160" s="188" t="s">
        <v>517</v>
      </c>
      <c r="B160" s="105">
        <f>30000-5945</f>
        <v>24055</v>
      </c>
      <c r="C160" s="105">
        <v>24055</v>
      </c>
      <c r="D160" s="472" t="s">
        <v>149</v>
      </c>
      <c r="E160" s="471">
        <f t="shared" si="7"/>
        <v>0</v>
      </c>
    </row>
    <row r="161" spans="1:5" ht="20.25">
      <c r="A161" s="188" t="s">
        <v>518</v>
      </c>
      <c r="B161" s="105">
        <v>0</v>
      </c>
      <c r="C161" s="105">
        <v>0</v>
      </c>
      <c r="D161" s="472" t="s">
        <v>149</v>
      </c>
      <c r="E161" s="471">
        <f t="shared" si="7"/>
        <v>0</v>
      </c>
    </row>
    <row r="162" spans="1:5" ht="20.25">
      <c r="A162" s="123" t="s">
        <v>520</v>
      </c>
      <c r="B162" s="358">
        <f>40000-15000</f>
        <v>25000</v>
      </c>
      <c r="C162" s="357">
        <v>19974</v>
      </c>
      <c r="D162" s="472" t="s">
        <v>305</v>
      </c>
      <c r="E162" s="471">
        <f t="shared" si="7"/>
        <v>5026</v>
      </c>
    </row>
    <row r="163" spans="1:5" ht="20.25">
      <c r="A163" s="123" t="s">
        <v>1061</v>
      </c>
      <c r="B163" s="105">
        <v>40000</v>
      </c>
      <c r="C163" s="124">
        <v>0</v>
      </c>
      <c r="D163" s="472" t="s">
        <v>305</v>
      </c>
      <c r="E163" s="471">
        <f t="shared" si="7"/>
        <v>40000</v>
      </c>
    </row>
    <row r="164" spans="1:5" ht="20.25">
      <c r="A164" s="204" t="s">
        <v>529</v>
      </c>
      <c r="B164" s="105">
        <v>0</v>
      </c>
      <c r="C164" s="124">
        <v>0</v>
      </c>
      <c r="D164" s="472" t="s">
        <v>149</v>
      </c>
      <c r="E164" s="471">
        <f t="shared" si="7"/>
        <v>0</v>
      </c>
    </row>
    <row r="165" spans="1:5" ht="20.25">
      <c r="A165" s="204" t="s">
        <v>530</v>
      </c>
      <c r="B165" s="105">
        <f>50000-8360-41640</f>
        <v>0</v>
      </c>
      <c r="C165" s="124">
        <v>0</v>
      </c>
      <c r="D165" s="472" t="s">
        <v>149</v>
      </c>
      <c r="E165" s="471">
        <f t="shared" si="7"/>
        <v>0</v>
      </c>
    </row>
    <row r="166" spans="1:5" ht="20.25">
      <c r="A166" s="204" t="s">
        <v>1062</v>
      </c>
      <c r="B166" s="105">
        <f>80000+47000</f>
        <v>127000</v>
      </c>
      <c r="C166" s="124">
        <v>85950</v>
      </c>
      <c r="D166" s="472" t="s">
        <v>305</v>
      </c>
      <c r="E166" s="471">
        <f t="shared" si="7"/>
        <v>41050</v>
      </c>
    </row>
    <row r="167" spans="1:5" ht="20.25">
      <c r="A167" s="123" t="s">
        <v>531</v>
      </c>
      <c r="B167" s="105">
        <v>10000</v>
      </c>
      <c r="C167" s="124">
        <v>1548</v>
      </c>
      <c r="D167" s="472" t="s">
        <v>305</v>
      </c>
      <c r="E167" s="471">
        <f t="shared" si="7"/>
        <v>8452</v>
      </c>
    </row>
    <row r="168" spans="1:5" ht="20.25">
      <c r="A168" s="123" t="s">
        <v>492</v>
      </c>
      <c r="B168" s="105">
        <v>20000</v>
      </c>
      <c r="C168" s="105">
        <v>0</v>
      </c>
      <c r="D168" s="472" t="s">
        <v>305</v>
      </c>
      <c r="E168" s="471">
        <f t="shared" si="7"/>
        <v>20000</v>
      </c>
    </row>
    <row r="169" spans="1:5" ht="20.25">
      <c r="A169" s="204" t="s">
        <v>886</v>
      </c>
      <c r="B169" s="105">
        <v>30000</v>
      </c>
      <c r="C169" s="105">
        <v>15900</v>
      </c>
      <c r="D169" s="472" t="s">
        <v>305</v>
      </c>
      <c r="E169" s="471">
        <f t="shared" si="7"/>
        <v>14100</v>
      </c>
    </row>
    <row r="170" spans="1:5" ht="20.25">
      <c r="A170" s="197" t="s">
        <v>887</v>
      </c>
      <c r="B170" s="105">
        <v>10000</v>
      </c>
      <c r="C170" s="105">
        <v>0</v>
      </c>
      <c r="D170" s="472" t="s">
        <v>305</v>
      </c>
      <c r="E170" s="471">
        <f t="shared" si="7"/>
        <v>10000</v>
      </c>
    </row>
    <row r="171" spans="1:5" ht="20.25">
      <c r="A171" s="197" t="s">
        <v>1045</v>
      </c>
      <c r="B171" s="105">
        <f>20000+25000-6810</f>
        <v>38190</v>
      </c>
      <c r="C171" s="105">
        <v>38190</v>
      </c>
      <c r="D171" s="472" t="s">
        <v>149</v>
      </c>
      <c r="E171" s="471">
        <f t="shared" si="7"/>
        <v>0</v>
      </c>
    </row>
    <row r="172" spans="1:5" ht="20.25">
      <c r="A172" s="197" t="s">
        <v>888</v>
      </c>
      <c r="B172" s="105">
        <f>30000</f>
        <v>30000</v>
      </c>
      <c r="C172" s="105">
        <v>28990</v>
      </c>
      <c r="D172" s="472" t="s">
        <v>305</v>
      </c>
      <c r="E172" s="471">
        <f t="shared" si="7"/>
        <v>1010</v>
      </c>
    </row>
    <row r="173" spans="1:5" ht="20.25">
      <c r="A173" s="204" t="s">
        <v>889</v>
      </c>
      <c r="B173" s="105">
        <v>20000</v>
      </c>
      <c r="C173" s="105">
        <v>19245</v>
      </c>
      <c r="D173" s="472" t="s">
        <v>305</v>
      </c>
      <c r="E173" s="471">
        <f t="shared" si="7"/>
        <v>755</v>
      </c>
    </row>
    <row r="174" spans="1:5" ht="20.25">
      <c r="A174" s="204" t="s">
        <v>890</v>
      </c>
      <c r="B174" s="105">
        <v>10000</v>
      </c>
      <c r="C174" s="105">
        <v>4900</v>
      </c>
      <c r="D174" s="472" t="s">
        <v>305</v>
      </c>
      <c r="E174" s="471">
        <f t="shared" si="7"/>
        <v>5100</v>
      </c>
    </row>
    <row r="175" spans="1:5" ht="20.25">
      <c r="A175" s="179" t="s">
        <v>1048</v>
      </c>
      <c r="B175" s="105">
        <v>10000</v>
      </c>
      <c r="C175" s="105">
        <v>10000</v>
      </c>
      <c r="D175" s="472" t="s">
        <v>149</v>
      </c>
      <c r="E175" s="471">
        <f t="shared" si="7"/>
        <v>0</v>
      </c>
    </row>
    <row r="176" spans="1:5" ht="20.25">
      <c r="A176" s="123" t="s">
        <v>538</v>
      </c>
      <c r="B176" s="105">
        <v>10000</v>
      </c>
      <c r="C176" s="105">
        <v>236</v>
      </c>
      <c r="D176" s="472" t="s">
        <v>305</v>
      </c>
      <c r="E176" s="471">
        <f t="shared" si="7"/>
        <v>9764</v>
      </c>
    </row>
    <row r="177" spans="1:5" ht="20.25">
      <c r="A177" s="197" t="s">
        <v>542</v>
      </c>
      <c r="B177" s="105">
        <v>20000</v>
      </c>
      <c r="C177" s="105">
        <v>15400</v>
      </c>
      <c r="D177" s="472" t="s">
        <v>305</v>
      </c>
      <c r="E177" s="471">
        <f t="shared" si="7"/>
        <v>4600</v>
      </c>
    </row>
    <row r="178" spans="1:5" ht="20.25">
      <c r="A178" s="197" t="s">
        <v>543</v>
      </c>
      <c r="B178" s="105">
        <v>40000</v>
      </c>
      <c r="C178" s="105">
        <v>11920</v>
      </c>
      <c r="D178" s="472" t="s">
        <v>305</v>
      </c>
      <c r="E178" s="471">
        <f t="shared" si="7"/>
        <v>28080</v>
      </c>
    </row>
    <row r="179" spans="1:5" ht="20.25">
      <c r="A179" s="197" t="s">
        <v>1049</v>
      </c>
      <c r="B179" s="105">
        <v>100000</v>
      </c>
      <c r="C179" s="105">
        <v>0</v>
      </c>
      <c r="D179" s="472" t="s">
        <v>305</v>
      </c>
      <c r="E179" s="471">
        <f t="shared" si="7"/>
        <v>100000</v>
      </c>
    </row>
    <row r="180" spans="1:5" ht="20.25">
      <c r="A180" s="189" t="s">
        <v>539</v>
      </c>
      <c r="B180" s="473">
        <f>'Sheet3 (โอน)'!D145+'Sheet3 (โอน)'!D162+'Sheet3 (โอน)'!D171+'Sheet3 (โอน)'!D179+'Sheet3 (โอน)'!D194+'Sheet3 (โอน)'!D198+'Sheet3 (โอน)'!D202+'Sheet3 (โอน)'!D208+'Sheet3 (โอน)'!D218+'Sheet3 (โอน)'!D225+'Sheet3 (โอน)'!D242</f>
        <v>412345</v>
      </c>
      <c r="C180" s="473">
        <f>'Sheet3 (โอน)'!E145+'Sheet3 (โอน)'!E162+'Sheet3 (โอน)'!E171+'Sheet3 (โอน)'!E179+'Sheet3 (โอน)'!E194+'Sheet3 (โอน)'!E198+'Sheet3 (โอน)'!E202+'Sheet3 (โอน)'!E208+'Sheet3 (โอน)'!E218+'Sheet3 (โอน)'!E225+'Sheet3 (โอน)'!E242</f>
        <v>78630</v>
      </c>
      <c r="D180" s="474" t="s">
        <v>305</v>
      </c>
      <c r="E180" s="471">
        <f t="shared" si="7"/>
        <v>333715</v>
      </c>
    </row>
    <row r="181" spans="1:5">
      <c r="A181" s="89" t="s">
        <v>380</v>
      </c>
      <c r="B181" s="87">
        <f>SUM(B128:B180)</f>
        <v>4364467</v>
      </c>
      <c r="C181" s="87">
        <f>SUM(C127:C180)</f>
        <v>2653622.7999999998</v>
      </c>
      <c r="D181" s="85" t="s">
        <v>149</v>
      </c>
      <c r="E181" s="87">
        <f t="shared" si="7"/>
        <v>1710844.2000000002</v>
      </c>
    </row>
    <row r="182" spans="1:5">
      <c r="A182" s="89"/>
      <c r="B182" s="87"/>
      <c r="C182" s="87"/>
      <c r="D182" s="85"/>
      <c r="E182" s="87"/>
    </row>
    <row r="183" spans="1:5">
      <c r="A183" s="82" t="s">
        <v>381</v>
      </c>
      <c r="B183" s="84"/>
      <c r="C183" s="84"/>
      <c r="D183" s="85"/>
      <c r="E183" s="84"/>
    </row>
    <row r="184" spans="1:5" ht="20.25">
      <c r="A184" s="120" t="s">
        <v>550</v>
      </c>
      <c r="B184" s="119">
        <f>'Sheet3 (โอน)'!D252+'Sheet3 (โอน)'!D263+'Sheet3 (โอน)'!D267+'Sheet3 (โอน)'!D279+'Sheet3 (โอน)'!D288+'Sheet3 (โอน)'!D293</f>
        <v>238000</v>
      </c>
      <c r="C184" s="119">
        <f>'Sheet3 (โอน)'!E252+'Sheet3 (โอน)'!E263+'Sheet3 (โอน)'!E267+'Sheet3 (โอน)'!E279+'Sheet3 (โอน)'!E288+'Sheet3 (โอน)'!E293</f>
        <v>184605</v>
      </c>
      <c r="D184" s="470" t="s">
        <v>305</v>
      </c>
      <c r="E184" s="469">
        <f>B184-C184</f>
        <v>53395</v>
      </c>
    </row>
    <row r="185" spans="1:5" ht="20.25">
      <c r="A185" s="124" t="s">
        <v>891</v>
      </c>
      <c r="B185" s="105">
        <v>10000</v>
      </c>
      <c r="C185" s="124">
        <v>4250</v>
      </c>
      <c r="D185" s="472" t="s">
        <v>305</v>
      </c>
      <c r="E185" s="471">
        <f t="shared" ref="E185:E196" si="8">B185-C185</f>
        <v>5750</v>
      </c>
    </row>
    <row r="186" spans="1:5" ht="20.25">
      <c r="A186" s="124" t="s">
        <v>892</v>
      </c>
      <c r="B186" s="105">
        <f>'Sheet3 (โอน)'!D254+'Sheet3 (โอน)'!D269</f>
        <v>30000</v>
      </c>
      <c r="C186" s="105">
        <f>'Sheet3 (โอน)'!E254+'Sheet3 (โอน)'!E269</f>
        <v>0</v>
      </c>
      <c r="D186" s="472" t="s">
        <v>305</v>
      </c>
      <c r="E186" s="471">
        <f t="shared" si="8"/>
        <v>30000</v>
      </c>
    </row>
    <row r="187" spans="1:5" ht="20.25">
      <c r="A187" s="124" t="s">
        <v>893</v>
      </c>
      <c r="B187" s="105">
        <f>'Sheet3 (โอน)'!D255+'Sheet3 (โอน)'!D270</f>
        <v>191825</v>
      </c>
      <c r="C187" s="105">
        <f>'Sheet3 (โอน)'!E270+'Sheet3 (โอน)'!E255</f>
        <v>153991</v>
      </c>
      <c r="D187" s="472" t="s">
        <v>305</v>
      </c>
      <c r="E187" s="471">
        <f t="shared" si="8"/>
        <v>37834</v>
      </c>
    </row>
    <row r="188" spans="1:5" ht="20.25">
      <c r="A188" s="124" t="s">
        <v>894</v>
      </c>
      <c r="B188" s="105">
        <f>'Sheet3 (โอน)'!D256+'Sheet3 (โอน)'!D271</f>
        <v>30000</v>
      </c>
      <c r="C188" s="105">
        <f>'Sheet3 (โอน)'!E256+'Sheet3 (โอน)'!E271</f>
        <v>0</v>
      </c>
      <c r="D188" s="472" t="s">
        <v>305</v>
      </c>
      <c r="E188" s="471">
        <f t="shared" si="8"/>
        <v>30000</v>
      </c>
    </row>
    <row r="189" spans="1:5" ht="20.25">
      <c r="A189" s="124" t="s">
        <v>895</v>
      </c>
      <c r="B189" s="105">
        <f>'Sheet3 (โอน)'!D257+'Sheet3 (โอน)'!D264+'Sheet3 (โอน)'!D272+'Sheet3 (โอน)'!D282+'Sheet3 (โอน)'!D290</f>
        <v>100000</v>
      </c>
      <c r="C189" s="105">
        <f>'Sheet3 (โอน)'!E257+'Sheet3 (โอน)'!E264+'Sheet3 (โอน)'!E272+'Sheet3 (โอน)'!E282+'Sheet3 (โอน)'!E290</f>
        <v>97600</v>
      </c>
      <c r="D189" s="472" t="s">
        <v>305</v>
      </c>
      <c r="E189" s="471">
        <f t="shared" si="8"/>
        <v>2400</v>
      </c>
    </row>
    <row r="190" spans="1:5" ht="20.25">
      <c r="A190" s="124" t="s">
        <v>1057</v>
      </c>
      <c r="B190" s="105">
        <v>5500</v>
      </c>
      <c r="C190" s="105">
        <v>5500</v>
      </c>
      <c r="D190" s="472" t="s">
        <v>149</v>
      </c>
      <c r="E190" s="471">
        <f t="shared" si="8"/>
        <v>0</v>
      </c>
    </row>
    <row r="191" spans="1:5" ht="20.25">
      <c r="A191" s="183" t="s">
        <v>551</v>
      </c>
      <c r="B191" s="356">
        <f>'Sheet3 (โอน)'!D268+'Sheet3 (โอน)'!D276</f>
        <v>92000</v>
      </c>
      <c r="C191" s="356">
        <f>'Sheet3 (โอน)'!E268+'Sheet3 (โอน)'!E276</f>
        <v>75420</v>
      </c>
      <c r="D191" s="472" t="s">
        <v>305</v>
      </c>
      <c r="E191" s="471">
        <f t="shared" si="8"/>
        <v>16580</v>
      </c>
    </row>
    <row r="192" spans="1:5" ht="20.25">
      <c r="A192" s="124" t="s">
        <v>556</v>
      </c>
      <c r="B192" s="356">
        <f>'Sheet3 (โอน)'!D275+'Sheet3 (โอน)'!D280</f>
        <v>35000</v>
      </c>
      <c r="C192" s="356">
        <f>'Sheet3 (โอน)'!E275+'Sheet3 (โอน)'!E280</f>
        <v>22460</v>
      </c>
      <c r="D192" s="472" t="s">
        <v>305</v>
      </c>
      <c r="E192" s="471">
        <f t="shared" si="8"/>
        <v>12540</v>
      </c>
    </row>
    <row r="193" spans="1:6" ht="20.25">
      <c r="A193" s="123" t="s">
        <v>560</v>
      </c>
      <c r="B193" s="342">
        <v>10000</v>
      </c>
      <c r="C193" s="342">
        <v>0</v>
      </c>
      <c r="D193" s="472" t="s">
        <v>305</v>
      </c>
      <c r="E193" s="471">
        <f t="shared" si="8"/>
        <v>10000</v>
      </c>
    </row>
    <row r="194" spans="1:6" ht="20.25">
      <c r="A194" s="179" t="s">
        <v>562</v>
      </c>
      <c r="B194" s="342">
        <v>944683</v>
      </c>
      <c r="C194" s="342">
        <v>795697.52</v>
      </c>
      <c r="D194" s="472" t="s">
        <v>305</v>
      </c>
      <c r="E194" s="471">
        <f t="shared" si="8"/>
        <v>148985.47999999998</v>
      </c>
    </row>
    <row r="195" spans="1:6" ht="20.25">
      <c r="A195" s="123" t="s">
        <v>564</v>
      </c>
      <c r="B195" s="342">
        <v>46000</v>
      </c>
      <c r="C195" s="343">
        <v>39790</v>
      </c>
      <c r="D195" s="472" t="s">
        <v>305</v>
      </c>
      <c r="E195" s="471">
        <f t="shared" si="8"/>
        <v>6210</v>
      </c>
    </row>
    <row r="196" spans="1:6" ht="20.25">
      <c r="A196" s="179" t="s">
        <v>568</v>
      </c>
      <c r="B196" s="342">
        <v>10000</v>
      </c>
      <c r="C196" s="343">
        <v>10000</v>
      </c>
      <c r="D196" s="472" t="s">
        <v>149</v>
      </c>
      <c r="E196" s="471">
        <f t="shared" si="8"/>
        <v>0</v>
      </c>
    </row>
    <row r="197" spans="1:6" ht="20.25">
      <c r="A197" s="189"/>
      <c r="B197" s="479"/>
      <c r="C197" s="480"/>
      <c r="D197" s="474"/>
      <c r="E197" s="473"/>
    </row>
    <row r="198" spans="1:6">
      <c r="A198" s="89" t="s">
        <v>382</v>
      </c>
      <c r="B198" s="87">
        <f>SUM(B184:B197)</f>
        <v>1743008</v>
      </c>
      <c r="C198" s="87">
        <f>SUM(C184:C197)</f>
        <v>1389313.52</v>
      </c>
      <c r="D198" s="88" t="s">
        <v>149</v>
      </c>
      <c r="E198" s="87">
        <f>B198-C198</f>
        <v>353694.48</v>
      </c>
      <c r="F198" s="104"/>
    </row>
    <row r="199" spans="1:6">
      <c r="A199" s="82" t="s">
        <v>383</v>
      </c>
      <c r="B199" s="84"/>
      <c r="C199" s="84"/>
      <c r="D199" s="85"/>
      <c r="E199" s="84">
        <f t="shared" ref="E199:E212" si="9">B199-C199</f>
        <v>0</v>
      </c>
    </row>
    <row r="200" spans="1:6" ht="20.25">
      <c r="A200" s="120" t="s">
        <v>571</v>
      </c>
      <c r="B200" s="481">
        <f>300000-10000-10000+'Sheet3 (โอน)'!D309</f>
        <v>320000</v>
      </c>
      <c r="C200" s="482">
        <f>229507.48+'Sheet3 (โอน)'!E309</f>
        <v>247450.99000000002</v>
      </c>
      <c r="D200" s="470" t="s">
        <v>305</v>
      </c>
      <c r="E200" s="469">
        <f t="shared" si="9"/>
        <v>72549.00999999998</v>
      </c>
    </row>
    <row r="201" spans="1:6" ht="20.25">
      <c r="A201" s="124" t="s">
        <v>572</v>
      </c>
      <c r="B201" s="342">
        <f>15000+'Sheet3 (โอน)'!D310</f>
        <v>35000</v>
      </c>
      <c r="C201" s="357">
        <f>9082.19+'Sheet3 (โอน)'!E310</f>
        <v>14522.07</v>
      </c>
      <c r="D201" s="472" t="s">
        <v>305</v>
      </c>
      <c r="E201" s="471">
        <f t="shared" si="9"/>
        <v>20477.93</v>
      </c>
    </row>
    <row r="202" spans="1:6" ht="20.25">
      <c r="A202" s="124" t="s">
        <v>573</v>
      </c>
      <c r="B202" s="342">
        <v>15000</v>
      </c>
      <c r="C202" s="357">
        <v>1597.51</v>
      </c>
      <c r="D202" s="472" t="s">
        <v>305</v>
      </c>
      <c r="E202" s="471">
        <f t="shared" si="9"/>
        <v>13402.49</v>
      </c>
    </row>
    <row r="203" spans="1:6" ht="20.25">
      <c r="A203" s="124" t="s">
        <v>574</v>
      </c>
      <c r="B203" s="342">
        <v>10000</v>
      </c>
      <c r="C203" s="357">
        <v>6451</v>
      </c>
      <c r="D203" s="472" t="s">
        <v>305</v>
      </c>
      <c r="E203" s="471">
        <f t="shared" si="9"/>
        <v>3549</v>
      </c>
    </row>
    <row r="204" spans="1:6" ht="20.25">
      <c r="A204" s="127" t="s">
        <v>575</v>
      </c>
      <c r="B204" s="479">
        <f>95000+10000+10000</f>
        <v>115000</v>
      </c>
      <c r="C204" s="483">
        <v>99714.43</v>
      </c>
      <c r="D204" s="474" t="s">
        <v>305</v>
      </c>
      <c r="E204" s="473">
        <f t="shared" si="9"/>
        <v>15285.570000000007</v>
      </c>
    </row>
    <row r="205" spans="1:6">
      <c r="A205" s="89" t="s">
        <v>384</v>
      </c>
      <c r="B205" s="87">
        <f>SUM(B200:B204)</f>
        <v>495000</v>
      </c>
      <c r="C205" s="87">
        <f>SUM(C200:C204)</f>
        <v>369736</v>
      </c>
      <c r="D205" s="85" t="s">
        <v>305</v>
      </c>
      <c r="E205" s="87">
        <f t="shared" si="9"/>
        <v>125264</v>
      </c>
      <c r="F205" s="104"/>
    </row>
    <row r="206" spans="1:6">
      <c r="A206" s="82" t="s">
        <v>385</v>
      </c>
      <c r="B206" s="84"/>
      <c r="C206" s="84"/>
      <c r="D206" s="85"/>
      <c r="E206" s="84">
        <f t="shared" si="9"/>
        <v>0</v>
      </c>
    </row>
    <row r="207" spans="1:6" ht="20.25">
      <c r="A207" s="475" t="s">
        <v>386</v>
      </c>
      <c r="B207" s="119">
        <v>664000</v>
      </c>
      <c r="C207" s="481">
        <v>606000</v>
      </c>
      <c r="D207" s="470" t="s">
        <v>305</v>
      </c>
      <c r="E207" s="469">
        <f t="shared" si="9"/>
        <v>58000</v>
      </c>
    </row>
    <row r="208" spans="1:6" ht="20.25">
      <c r="A208" s="476" t="s">
        <v>387</v>
      </c>
      <c r="B208" s="105">
        <v>212000</v>
      </c>
      <c r="C208" s="124">
        <v>199000</v>
      </c>
      <c r="D208" s="472" t="s">
        <v>305</v>
      </c>
      <c r="E208" s="471">
        <f t="shared" si="9"/>
        <v>13000</v>
      </c>
    </row>
    <row r="209" spans="1:6" ht="20.25">
      <c r="A209" s="476" t="s">
        <v>388</v>
      </c>
      <c r="B209" s="105">
        <v>396000</v>
      </c>
      <c r="C209" s="124">
        <v>380000</v>
      </c>
      <c r="D209" s="472" t="s">
        <v>305</v>
      </c>
      <c r="E209" s="471">
        <f t="shared" si="9"/>
        <v>16000</v>
      </c>
    </row>
    <row r="210" spans="1:6" ht="20.25">
      <c r="A210" s="476" t="s">
        <v>389</v>
      </c>
      <c r="B210" s="105">
        <v>296000</v>
      </c>
      <c r="C210" s="124">
        <v>281000</v>
      </c>
      <c r="D210" s="472" t="s">
        <v>305</v>
      </c>
      <c r="E210" s="471">
        <f t="shared" si="9"/>
        <v>15000</v>
      </c>
    </row>
    <row r="211" spans="1:6" ht="20.25">
      <c r="A211" s="123" t="s">
        <v>390</v>
      </c>
      <c r="B211" s="342">
        <v>25000</v>
      </c>
      <c r="C211" s="124">
        <v>25000</v>
      </c>
      <c r="D211" s="472" t="s">
        <v>149</v>
      </c>
      <c r="E211" s="471">
        <f t="shared" si="9"/>
        <v>0</v>
      </c>
    </row>
    <row r="212" spans="1:6" ht="20.25">
      <c r="A212" s="189" t="s">
        <v>1065</v>
      </c>
      <c r="B212" s="479">
        <v>340000</v>
      </c>
      <c r="C212" s="127">
        <v>340000</v>
      </c>
      <c r="D212" s="474" t="s">
        <v>149</v>
      </c>
      <c r="E212" s="473">
        <f t="shared" si="9"/>
        <v>0</v>
      </c>
    </row>
    <row r="213" spans="1:6">
      <c r="A213" s="89" t="s">
        <v>391</v>
      </c>
      <c r="B213" s="87">
        <f>SUM(B207:B212)</f>
        <v>1933000</v>
      </c>
      <c r="C213" s="87">
        <f>SUM(C207:C212)</f>
        <v>1831000</v>
      </c>
      <c r="D213" s="85" t="s">
        <v>305</v>
      </c>
      <c r="E213" s="87">
        <f>B213-C213</f>
        <v>102000</v>
      </c>
      <c r="F213" s="104"/>
    </row>
    <row r="214" spans="1:6">
      <c r="A214" s="109" t="s">
        <v>392</v>
      </c>
      <c r="B214" s="87"/>
      <c r="C214" s="87"/>
      <c r="D214" s="85"/>
      <c r="E214" s="87"/>
    </row>
    <row r="215" spans="1:6">
      <c r="A215" s="110" t="s">
        <v>1066</v>
      </c>
      <c r="B215" s="87">
        <v>0</v>
      </c>
      <c r="C215" s="84">
        <v>0</v>
      </c>
      <c r="D215" s="85"/>
      <c r="E215" s="87">
        <f>B215-C215</f>
        <v>0</v>
      </c>
    </row>
    <row r="216" spans="1:6">
      <c r="A216" s="89" t="s">
        <v>393</v>
      </c>
      <c r="B216" s="87">
        <f>B215</f>
        <v>0</v>
      </c>
      <c r="C216" s="87">
        <f>C215</f>
        <v>0</v>
      </c>
      <c r="D216" s="85"/>
      <c r="E216" s="87">
        <f>B216-C216</f>
        <v>0</v>
      </c>
      <c r="F216" s="104"/>
    </row>
    <row r="217" spans="1:6">
      <c r="A217" s="110"/>
      <c r="B217" s="87"/>
      <c r="C217" s="87"/>
      <c r="D217" s="85"/>
      <c r="E217" s="87"/>
    </row>
    <row r="218" spans="1:6">
      <c r="A218" s="82" t="s">
        <v>394</v>
      </c>
      <c r="B218" s="84"/>
      <c r="C218" s="84"/>
      <c r="D218" s="85"/>
      <c r="E218" s="84"/>
    </row>
    <row r="219" spans="1:6">
      <c r="A219" s="82" t="s">
        <v>395</v>
      </c>
      <c r="B219" s="84"/>
      <c r="C219" s="84"/>
      <c r="D219" s="85"/>
      <c r="E219" s="84"/>
    </row>
    <row r="220" spans="1:6">
      <c r="A220" s="475" t="s">
        <v>396</v>
      </c>
      <c r="B220" s="469">
        <f>'Sheet3 (โอน)'!D341+'Sheet3 (โอน)'!D345+'Sheet3 (โอน)'!D349+'Sheet3 (โอน)'!D353+'Sheet3 (โอน)'!D357+'Sheet3 (โอน)'!D361+'Sheet3 (โอน)'!D366+'Sheet3 (โอน)'!D370</f>
        <v>128500</v>
      </c>
      <c r="C220" s="469">
        <f>'Sheet3 (โอน)'!E341+'Sheet3 (โอน)'!E345+'Sheet3 (โอน)'!E349+'Sheet3 (โอน)'!E353+'Sheet3 (โอน)'!E357+'Sheet3 (โอน)'!E361+'Sheet3 (โอน)'!E366+'Sheet3 (โอน)'!E370</f>
        <v>128500</v>
      </c>
      <c r="D220" s="470" t="s">
        <v>149</v>
      </c>
      <c r="E220" s="469">
        <f>B220-C220</f>
        <v>0</v>
      </c>
    </row>
    <row r="221" spans="1:6">
      <c r="A221" s="476" t="s">
        <v>397</v>
      </c>
      <c r="B221" s="471">
        <f>'Sheet3 (โอน)'!D374+'Sheet3 (โอน)'!D378+'Sheet3 (โอน)'!D383+'Sheet3 (โอน)'!D386</f>
        <v>61100</v>
      </c>
      <c r="C221" s="471">
        <f>'Sheet3 (โอน)'!E374+'Sheet3 (โอน)'!E378+'Sheet3 (โอน)'!E383+'Sheet3 (โอน)'!E386</f>
        <v>61100</v>
      </c>
      <c r="D221" s="472" t="s">
        <v>149</v>
      </c>
      <c r="E221" s="471">
        <f>B221-C221</f>
        <v>0</v>
      </c>
    </row>
    <row r="222" spans="1:6" ht="20.25">
      <c r="A222" s="123" t="s">
        <v>1067</v>
      </c>
      <c r="B222" s="478">
        <v>0</v>
      </c>
      <c r="C222" s="105">
        <v>29900</v>
      </c>
      <c r="D222" s="472" t="s">
        <v>149</v>
      </c>
      <c r="E222" s="471">
        <f>B222-C222</f>
        <v>-29900</v>
      </c>
    </row>
    <row r="223" spans="1:6" ht="20.25">
      <c r="A223" s="477" t="s">
        <v>1068</v>
      </c>
      <c r="B223" s="106">
        <v>7500</v>
      </c>
      <c r="C223" s="106">
        <v>7500</v>
      </c>
      <c r="D223" s="474" t="s">
        <v>149</v>
      </c>
      <c r="E223" s="473">
        <f>B223-C223</f>
        <v>0</v>
      </c>
    </row>
    <row r="224" spans="1:6">
      <c r="A224" s="89" t="s">
        <v>398</v>
      </c>
      <c r="B224" s="87">
        <f>SUM(B220:B223)</f>
        <v>197100</v>
      </c>
      <c r="C224" s="87">
        <f>SUM(C220:C223)</f>
        <v>227000</v>
      </c>
      <c r="D224" s="85" t="s">
        <v>149</v>
      </c>
      <c r="E224" s="87">
        <f>SUM(E220:E222)</f>
        <v>-29900</v>
      </c>
      <c r="F224" s="104"/>
    </row>
    <row r="225" spans="1:6">
      <c r="A225" s="89"/>
      <c r="B225" s="87"/>
      <c r="C225" s="87"/>
      <c r="D225" s="85"/>
      <c r="E225" s="87"/>
    </row>
    <row r="226" spans="1:6">
      <c r="A226" s="82" t="s">
        <v>399</v>
      </c>
      <c r="B226" s="87"/>
      <c r="C226" s="87"/>
      <c r="D226" s="85"/>
      <c r="E226" s="87"/>
    </row>
    <row r="227" spans="1:6" ht="20.25">
      <c r="A227" s="475" t="s">
        <v>400</v>
      </c>
      <c r="B227" s="235">
        <v>3236345</v>
      </c>
      <c r="C227" s="235">
        <v>2903000</v>
      </c>
      <c r="D227" s="470" t="s">
        <v>305</v>
      </c>
      <c r="E227" s="469">
        <f t="shared" ref="E227:E233" si="10">B227-C227</f>
        <v>333345</v>
      </c>
    </row>
    <row r="228" spans="1:6" ht="20.25">
      <c r="A228" s="484" t="s">
        <v>1046</v>
      </c>
      <c r="B228" s="356">
        <f>70000+5945+14055</f>
        <v>90000</v>
      </c>
      <c r="C228" s="356">
        <v>90000</v>
      </c>
      <c r="D228" s="472" t="s">
        <v>149</v>
      </c>
      <c r="E228" s="471">
        <f t="shared" si="10"/>
        <v>0</v>
      </c>
    </row>
    <row r="229" spans="1:6" ht="20.25">
      <c r="A229" s="484" t="s">
        <v>1047</v>
      </c>
      <c r="B229" s="356">
        <v>63600</v>
      </c>
      <c r="C229" s="356">
        <v>63600</v>
      </c>
      <c r="D229" s="472" t="s">
        <v>149</v>
      </c>
      <c r="E229" s="471">
        <f t="shared" si="10"/>
        <v>0</v>
      </c>
    </row>
    <row r="230" spans="1:6" ht="20.25">
      <c r="A230" s="484" t="s">
        <v>1051</v>
      </c>
      <c r="B230" s="356">
        <v>100000</v>
      </c>
      <c r="C230" s="356">
        <v>0</v>
      </c>
      <c r="D230" s="472" t="s">
        <v>305</v>
      </c>
      <c r="E230" s="471">
        <f t="shared" si="10"/>
        <v>100000</v>
      </c>
    </row>
    <row r="231" spans="1:6" ht="20.25">
      <c r="A231" s="484" t="s">
        <v>1043</v>
      </c>
      <c r="B231" s="356">
        <v>675000</v>
      </c>
      <c r="C231" s="356">
        <v>655000</v>
      </c>
      <c r="D231" s="472" t="s">
        <v>305</v>
      </c>
      <c r="E231" s="471">
        <f t="shared" si="10"/>
        <v>20000</v>
      </c>
    </row>
    <row r="232" spans="1:6">
      <c r="A232" s="477"/>
      <c r="B232" s="473"/>
      <c r="C232" s="473"/>
      <c r="D232" s="474"/>
      <c r="E232" s="473"/>
    </row>
    <row r="233" spans="1:6">
      <c r="A233" s="89" t="s">
        <v>401</v>
      </c>
      <c r="B233" s="87">
        <f>SUM(B227:B232)</f>
        <v>4164945</v>
      </c>
      <c r="C233" s="87">
        <f>SUM(C227:C232)</f>
        <v>3711600</v>
      </c>
      <c r="D233" s="85" t="s">
        <v>149</v>
      </c>
      <c r="E233" s="87">
        <f t="shared" si="10"/>
        <v>453345</v>
      </c>
      <c r="F233" s="104"/>
    </row>
    <row r="234" spans="1:6">
      <c r="A234" s="89" t="s">
        <v>402</v>
      </c>
      <c r="B234" s="87">
        <f>B101+B109+B117+B126+B181+B198+B205+B213+B216+B224+B233</f>
        <v>43267600</v>
      </c>
      <c r="C234" s="87">
        <f>C101+C109+C117+C126+C181+C198+C205+C213+C216+C224+C233</f>
        <v>38305277.769999996</v>
      </c>
      <c r="D234" s="85" t="s">
        <v>149</v>
      </c>
      <c r="E234" s="87">
        <f>B234-C234</f>
        <v>4962322.2300000042</v>
      </c>
      <c r="F234" s="104"/>
    </row>
    <row r="235" spans="1:6">
      <c r="A235" s="89" t="s">
        <v>403</v>
      </c>
      <c r="B235" s="87"/>
      <c r="C235" s="87">
        <f>C62-C234</f>
        <v>5886684.6400000006</v>
      </c>
      <c r="D235" s="85"/>
      <c r="E235" s="87"/>
      <c r="F235" s="104"/>
    </row>
    <row r="258" spans="1:2">
      <c r="A258" s="83" t="s">
        <v>376</v>
      </c>
      <c r="B258" s="78">
        <f>500000+250000+320000+10000+60000+60000+36000+100000+470000+30000+9000</f>
        <v>1845000</v>
      </c>
    </row>
    <row r="259" spans="1:2">
      <c r="A259" s="83" t="s">
        <v>377</v>
      </c>
      <c r="B259" s="78">
        <f>70000+10000+10000+10000</f>
        <v>100000</v>
      </c>
    </row>
    <row r="260" spans="1:2">
      <c r="A260" s="107" t="s">
        <v>378</v>
      </c>
      <c r="B260" s="78">
        <f>100000+40000+20000+30000+10000+20000+40000+10000</f>
        <v>270000</v>
      </c>
    </row>
    <row r="261" spans="1:2">
      <c r="A261" s="107" t="s">
        <v>379</v>
      </c>
      <c r="B261" s="78">
        <f>140000+20000+10000+200000+10000+10000+150000+30000+10000+10000+10000</f>
        <v>600000</v>
      </c>
    </row>
  </sheetData>
  <mergeCells count="11">
    <mergeCell ref="A2:E2"/>
    <mergeCell ref="A3:E3"/>
    <mergeCell ref="A4:E4"/>
    <mergeCell ref="A5:A6"/>
    <mergeCell ref="C5:C6"/>
    <mergeCell ref="E5:E6"/>
    <mergeCell ref="A44:A45"/>
    <mergeCell ref="C44:C45"/>
    <mergeCell ref="E44:E45"/>
    <mergeCell ref="A90:A91"/>
    <mergeCell ref="E90:E91"/>
  </mergeCells>
  <pageMargins left="0.38" right="0.21" top="0.2" bottom="0.21" header="0.3" footer="0.3"/>
  <pageSetup paperSize="9" orientation="portrait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C21" sqref="C21"/>
    </sheetView>
  </sheetViews>
  <sheetFormatPr defaultRowHeight="24.75"/>
  <cols>
    <col min="1" max="1" width="9" style="43"/>
    <col min="2" max="2" width="4" style="43" customWidth="1"/>
    <col min="3" max="16384" width="9" style="43"/>
  </cols>
  <sheetData>
    <row r="1" spans="1:9">
      <c r="A1" s="722" t="s">
        <v>150</v>
      </c>
      <c r="B1" s="722"/>
      <c r="C1" s="722"/>
      <c r="D1" s="722"/>
      <c r="E1" s="722"/>
      <c r="F1" s="722"/>
      <c r="G1" s="722"/>
      <c r="H1" s="722"/>
      <c r="I1" s="722"/>
    </row>
    <row r="2" spans="1:9">
      <c r="A2" s="722" t="s">
        <v>23</v>
      </c>
      <c r="B2" s="722"/>
      <c r="C2" s="722"/>
      <c r="D2" s="722"/>
      <c r="E2" s="722"/>
      <c r="F2" s="722"/>
      <c r="G2" s="722"/>
      <c r="H2" s="722"/>
      <c r="I2" s="722"/>
    </row>
    <row r="3" spans="1:9">
      <c r="A3" s="722" t="s">
        <v>1091</v>
      </c>
      <c r="B3" s="722"/>
      <c r="C3" s="722"/>
      <c r="D3" s="722"/>
      <c r="E3" s="722"/>
      <c r="F3" s="722"/>
      <c r="G3" s="722"/>
      <c r="H3" s="722"/>
      <c r="I3" s="722"/>
    </row>
    <row r="5" spans="1:9">
      <c r="A5" s="46" t="s">
        <v>25</v>
      </c>
    </row>
    <row r="6" spans="1:9">
      <c r="B6" s="43" t="s">
        <v>645</v>
      </c>
    </row>
    <row r="7" spans="1:9">
      <c r="A7" s="43" t="s">
        <v>646</v>
      </c>
    </row>
    <row r="8" spans="1:9">
      <c r="A8" s="43" t="s">
        <v>647</v>
      </c>
    </row>
    <row r="9" spans="1:9">
      <c r="B9" s="43" t="s">
        <v>648</v>
      </c>
    </row>
    <row r="10" spans="1:9">
      <c r="B10" s="43" t="s">
        <v>649</v>
      </c>
    </row>
    <row r="11" spans="1:9">
      <c r="A11" s="43" t="s">
        <v>650</v>
      </c>
    </row>
    <row r="12" spans="1:9">
      <c r="B12" s="43" t="s">
        <v>1092</v>
      </c>
    </row>
    <row r="13" spans="1:9">
      <c r="A13" s="46" t="s">
        <v>651</v>
      </c>
    </row>
    <row r="14" spans="1:9">
      <c r="B14" s="43" t="s">
        <v>652</v>
      </c>
    </row>
    <row r="15" spans="1:9">
      <c r="B15" s="43" t="s">
        <v>653</v>
      </c>
    </row>
    <row r="16" spans="1:9">
      <c r="A16" s="43" t="s">
        <v>654</v>
      </c>
    </row>
    <row r="17" spans="1:2">
      <c r="A17" s="43" t="s">
        <v>806</v>
      </c>
    </row>
    <row r="18" spans="1:2">
      <c r="A18" s="43" t="s">
        <v>807</v>
      </c>
    </row>
    <row r="19" spans="1:2">
      <c r="B19" s="43" t="s">
        <v>655</v>
      </c>
    </row>
  </sheetData>
  <mergeCells count="3">
    <mergeCell ref="A1:I1"/>
    <mergeCell ref="A2:I2"/>
    <mergeCell ref="A3:I3"/>
  </mergeCells>
  <pageMargins left="0.86" right="0.2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1"/>
  <sheetViews>
    <sheetView workbookViewId="0">
      <selection activeCell="E101" sqref="E101"/>
    </sheetView>
  </sheetViews>
  <sheetFormatPr defaultColWidth="38.625" defaultRowHeight="22.5"/>
  <cols>
    <col min="1" max="1" width="37.25" style="244" customWidth="1"/>
    <col min="2" max="2" width="16.625" style="244" customWidth="1"/>
    <col min="3" max="3" width="16.625" style="523" customWidth="1"/>
    <col min="4" max="4" width="19" style="244" customWidth="1"/>
    <col min="5" max="6" width="16.625" style="244" customWidth="1"/>
    <col min="7" max="7" width="10.375" style="244" customWidth="1"/>
    <col min="8" max="8" width="14.75" style="244" customWidth="1"/>
    <col min="9" max="9" width="17.375" style="523" customWidth="1"/>
    <col min="10" max="16384" width="38.625" style="244"/>
  </cols>
  <sheetData>
    <row r="1" spans="1:8">
      <c r="A1" s="723" t="s">
        <v>612</v>
      </c>
      <c r="B1" s="723"/>
      <c r="C1" s="723"/>
      <c r="D1" s="723"/>
      <c r="E1" s="723"/>
      <c r="F1" s="723"/>
    </row>
    <row r="2" spans="1:8" ht="22.5" customHeight="1">
      <c r="A2" s="723" t="s">
        <v>23</v>
      </c>
      <c r="B2" s="723"/>
      <c r="C2" s="723"/>
      <c r="D2" s="723"/>
      <c r="E2" s="723"/>
      <c r="F2" s="723"/>
    </row>
    <row r="3" spans="1:8" ht="20.25" customHeight="1">
      <c r="A3" s="723" t="s">
        <v>915</v>
      </c>
      <c r="B3" s="723"/>
      <c r="C3" s="723"/>
      <c r="D3" s="723"/>
      <c r="E3" s="723"/>
      <c r="F3" s="723"/>
    </row>
    <row r="4" spans="1:8" ht="21.75" customHeight="1">
      <c r="A4" s="529" t="s">
        <v>613</v>
      </c>
      <c r="B4" s="529"/>
    </row>
    <row r="5" spans="1:8">
      <c r="A5" s="724" t="s">
        <v>26</v>
      </c>
      <c r="B5" s="725" t="s">
        <v>30</v>
      </c>
      <c r="C5" s="726"/>
      <c r="D5" s="729" t="s">
        <v>614</v>
      </c>
      <c r="E5" s="730"/>
      <c r="F5" s="731"/>
    </row>
    <row r="6" spans="1:8">
      <c r="A6" s="724"/>
      <c r="B6" s="727"/>
      <c r="C6" s="728"/>
      <c r="D6" s="633" t="s">
        <v>31</v>
      </c>
      <c r="E6" s="729" t="s">
        <v>32</v>
      </c>
      <c r="F6" s="731"/>
    </row>
    <row r="7" spans="1:8">
      <c r="A7" s="634"/>
      <c r="B7" s="635" t="s">
        <v>913</v>
      </c>
      <c r="C7" s="635" t="s">
        <v>912</v>
      </c>
      <c r="D7" s="636"/>
      <c r="E7" s="635" t="s">
        <v>913</v>
      </c>
      <c r="F7" s="635" t="s">
        <v>142</v>
      </c>
    </row>
    <row r="8" spans="1:8">
      <c r="A8" s="637" t="s">
        <v>1069</v>
      </c>
      <c r="B8" s="638"/>
      <c r="C8" s="639"/>
      <c r="D8" s="640"/>
      <c r="E8" s="640"/>
      <c r="F8" s="640"/>
    </row>
    <row r="9" spans="1:8">
      <c r="A9" s="641" t="s">
        <v>1070</v>
      </c>
      <c r="B9" s="642">
        <v>1415000</v>
      </c>
      <c r="C9" s="642">
        <v>1415000</v>
      </c>
      <c r="D9" s="640" t="s">
        <v>33</v>
      </c>
      <c r="E9" s="639">
        <v>24113283.539999999</v>
      </c>
      <c r="F9" s="291">
        <v>23819683.539999999</v>
      </c>
      <c r="G9" s="656"/>
      <c r="H9" s="656"/>
    </row>
    <row r="10" spans="1:8">
      <c r="A10" s="643" t="s">
        <v>1071</v>
      </c>
      <c r="B10" s="642"/>
      <c r="C10" s="642"/>
      <c r="D10" s="640" t="s">
        <v>18</v>
      </c>
      <c r="E10" s="639">
        <v>5286569</v>
      </c>
      <c r="F10" s="639">
        <v>5286569</v>
      </c>
      <c r="G10" s="656"/>
      <c r="H10" s="656"/>
    </row>
    <row r="11" spans="1:8">
      <c r="A11" s="641" t="s">
        <v>1072</v>
      </c>
      <c r="B11" s="642">
        <v>1444700</v>
      </c>
      <c r="C11" s="642">
        <v>1444700</v>
      </c>
      <c r="D11" s="640" t="s">
        <v>19</v>
      </c>
      <c r="E11" s="639">
        <v>0</v>
      </c>
      <c r="F11" s="639">
        <v>0</v>
      </c>
      <c r="G11" s="656"/>
    </row>
    <row r="12" spans="1:8">
      <c r="A12" s="643" t="s">
        <v>1073</v>
      </c>
      <c r="B12" s="644"/>
      <c r="C12" s="642"/>
      <c r="D12" s="640" t="s">
        <v>34</v>
      </c>
      <c r="E12" s="639">
        <v>0</v>
      </c>
      <c r="F12" s="639">
        <v>0</v>
      </c>
      <c r="G12" s="656"/>
    </row>
    <row r="13" spans="1:8">
      <c r="A13" s="645" t="s">
        <v>753</v>
      </c>
      <c r="B13" s="646">
        <v>50000</v>
      </c>
      <c r="C13" s="642">
        <v>50000</v>
      </c>
      <c r="D13" s="640" t="s">
        <v>1074</v>
      </c>
      <c r="E13" s="639">
        <v>3000</v>
      </c>
      <c r="F13" s="639">
        <v>3000</v>
      </c>
    </row>
    <row r="14" spans="1:8">
      <c r="A14" s="647" t="s">
        <v>750</v>
      </c>
      <c r="B14" s="648">
        <v>629000</v>
      </c>
      <c r="C14" s="642">
        <v>629000</v>
      </c>
      <c r="D14" s="640" t="s">
        <v>1075</v>
      </c>
      <c r="E14" s="639"/>
      <c r="F14" s="649"/>
    </row>
    <row r="15" spans="1:8">
      <c r="A15" s="647" t="s">
        <v>751</v>
      </c>
      <c r="B15" s="642">
        <v>100000</v>
      </c>
      <c r="C15" s="642">
        <v>100000</v>
      </c>
      <c r="D15" s="640" t="s">
        <v>1076</v>
      </c>
      <c r="E15" s="639"/>
      <c r="F15" s="649"/>
      <c r="G15" s="656"/>
      <c r="H15" s="656"/>
    </row>
    <row r="16" spans="1:8">
      <c r="A16" s="647" t="s">
        <v>752</v>
      </c>
      <c r="B16" s="642">
        <v>36594</v>
      </c>
      <c r="C16" s="642">
        <v>36594</v>
      </c>
      <c r="D16" s="640"/>
      <c r="E16" s="639"/>
      <c r="F16" s="649"/>
      <c r="G16" s="656"/>
    </row>
    <row r="17" spans="1:8">
      <c r="A17" s="647" t="s">
        <v>754</v>
      </c>
      <c r="B17" s="642">
        <v>22000</v>
      </c>
      <c r="C17" s="642">
        <v>22000</v>
      </c>
      <c r="D17" s="640"/>
      <c r="E17" s="639"/>
      <c r="F17" s="649"/>
    </row>
    <row r="18" spans="1:8">
      <c r="A18" s="647" t="s">
        <v>755</v>
      </c>
      <c r="B18" s="642">
        <v>528458.4</v>
      </c>
      <c r="C18" s="642">
        <v>528458.4</v>
      </c>
      <c r="D18" s="640"/>
      <c r="E18" s="640"/>
      <c r="F18" s="640"/>
    </row>
    <row r="19" spans="1:8">
      <c r="A19" s="647" t="s">
        <v>756</v>
      </c>
      <c r="B19" s="642">
        <v>112000</v>
      </c>
      <c r="C19" s="642">
        <v>112000</v>
      </c>
      <c r="D19" s="640"/>
      <c r="E19" s="640"/>
      <c r="F19" s="640"/>
    </row>
    <row r="20" spans="1:8">
      <c r="A20" s="647" t="s">
        <v>757</v>
      </c>
      <c r="B20" s="642">
        <v>98000</v>
      </c>
      <c r="C20" s="642">
        <v>98000</v>
      </c>
      <c r="D20" s="640"/>
      <c r="E20" s="640"/>
      <c r="F20" s="640"/>
    </row>
    <row r="21" spans="1:8">
      <c r="A21" s="647" t="s">
        <v>758</v>
      </c>
      <c r="B21" s="642">
        <v>9544264.4600000009</v>
      </c>
      <c r="C21" s="642">
        <v>9544264.4600000009</v>
      </c>
      <c r="D21" s="640"/>
      <c r="E21" s="640"/>
      <c r="F21" s="640"/>
    </row>
    <row r="22" spans="1:8">
      <c r="A22" s="647" t="s">
        <v>759</v>
      </c>
      <c r="B22" s="642">
        <v>3463600</v>
      </c>
      <c r="C22" s="642">
        <v>3310000</v>
      </c>
      <c r="D22" s="640"/>
      <c r="E22" s="640"/>
      <c r="F22" s="640"/>
    </row>
    <row r="23" spans="1:8">
      <c r="A23" s="647" t="s">
        <v>760</v>
      </c>
      <c r="B23" s="642">
        <v>1294500</v>
      </c>
      <c r="C23" s="642">
        <v>1294500</v>
      </c>
      <c r="D23" s="640"/>
      <c r="E23" s="640"/>
      <c r="F23" s="640"/>
    </row>
    <row r="24" spans="1:8">
      <c r="A24" s="650" t="s">
        <v>1077</v>
      </c>
      <c r="B24" s="651"/>
      <c r="C24" s="639"/>
      <c r="D24" s="640"/>
      <c r="E24" s="640"/>
      <c r="F24" s="640"/>
    </row>
    <row r="25" spans="1:8">
      <c r="A25" s="640" t="s">
        <v>761</v>
      </c>
      <c r="B25" s="639">
        <v>4463500</v>
      </c>
      <c r="C25" s="639">
        <v>4463500</v>
      </c>
      <c r="D25" s="640"/>
      <c r="E25" s="640"/>
      <c r="F25" s="640"/>
      <c r="G25" s="496"/>
      <c r="H25" s="496"/>
    </row>
    <row r="26" spans="1:8">
      <c r="A26" s="640" t="s">
        <v>762</v>
      </c>
      <c r="B26" s="639">
        <v>4336928.68</v>
      </c>
      <c r="C26" s="639">
        <v>4266928.68</v>
      </c>
      <c r="D26" s="640"/>
      <c r="E26" s="640"/>
      <c r="F26" s="640"/>
    </row>
    <row r="27" spans="1:8">
      <c r="A27" s="640" t="s">
        <v>763</v>
      </c>
      <c r="B27" s="639">
        <v>148300</v>
      </c>
      <c r="C27" s="639">
        <v>148300</v>
      </c>
      <c r="D27" s="640"/>
      <c r="E27" s="640"/>
      <c r="F27" s="640"/>
    </row>
    <row r="28" spans="1:8" ht="22.5" customHeight="1">
      <c r="A28" s="640" t="s">
        <v>764</v>
      </c>
      <c r="B28" s="639">
        <v>75960</v>
      </c>
      <c r="C28" s="639">
        <v>75960</v>
      </c>
      <c r="D28" s="640"/>
      <c r="E28" s="640"/>
      <c r="F28" s="640"/>
    </row>
    <row r="29" spans="1:8">
      <c r="A29" s="640" t="s">
        <v>765</v>
      </c>
      <c r="B29" s="639">
        <v>1800</v>
      </c>
      <c r="C29" s="639">
        <v>12000</v>
      </c>
      <c r="D29" s="640"/>
      <c r="E29" s="640"/>
      <c r="F29" s="640"/>
    </row>
    <row r="30" spans="1:8">
      <c r="A30" s="640" t="s">
        <v>766</v>
      </c>
      <c r="B30" s="639">
        <v>101500</v>
      </c>
      <c r="C30" s="639">
        <v>101500</v>
      </c>
      <c r="D30" s="640"/>
      <c r="E30" s="640"/>
      <c r="F30" s="640"/>
    </row>
    <row r="31" spans="1:8">
      <c r="A31" s="640" t="s">
        <v>767</v>
      </c>
      <c r="B31" s="639">
        <v>718473</v>
      </c>
      <c r="C31" s="639">
        <v>675673</v>
      </c>
      <c r="D31" s="640"/>
      <c r="E31" s="640"/>
      <c r="F31" s="640"/>
    </row>
    <row r="32" spans="1:8" ht="22.5" customHeight="1">
      <c r="A32" s="640" t="s">
        <v>768</v>
      </c>
      <c r="B32" s="639">
        <v>187474</v>
      </c>
      <c r="C32" s="639">
        <v>187474</v>
      </c>
      <c r="D32" s="640"/>
      <c r="E32" s="640"/>
      <c r="F32" s="640"/>
    </row>
    <row r="33" spans="1:7">
      <c r="A33" s="640" t="s">
        <v>769</v>
      </c>
      <c r="B33" s="639">
        <v>172000</v>
      </c>
      <c r="C33" s="639">
        <v>172000</v>
      </c>
      <c r="D33" s="640"/>
      <c r="E33" s="640"/>
      <c r="F33" s="640"/>
    </row>
    <row r="34" spans="1:7">
      <c r="A34" s="640" t="s">
        <v>770</v>
      </c>
      <c r="B34" s="639">
        <v>377500</v>
      </c>
      <c r="C34" s="639">
        <v>377500</v>
      </c>
      <c r="D34" s="640"/>
      <c r="E34" s="640"/>
      <c r="F34" s="640"/>
    </row>
    <row r="35" spans="1:7">
      <c r="A35" s="640" t="s">
        <v>914</v>
      </c>
      <c r="B35" s="639">
        <v>29900</v>
      </c>
      <c r="C35" s="639"/>
      <c r="D35" s="640"/>
      <c r="E35" s="640"/>
      <c r="F35" s="640"/>
    </row>
    <row r="36" spans="1:7">
      <c r="A36" s="640" t="s">
        <v>771</v>
      </c>
      <c r="B36" s="639">
        <v>51400</v>
      </c>
      <c r="C36" s="639">
        <v>43900</v>
      </c>
      <c r="D36" s="640"/>
      <c r="E36" s="640"/>
      <c r="F36" s="640"/>
    </row>
    <row r="37" spans="1:7">
      <c r="A37" s="650" t="s">
        <v>1078</v>
      </c>
      <c r="B37" s="639"/>
      <c r="C37" s="639"/>
      <c r="D37" s="640"/>
      <c r="E37" s="640"/>
      <c r="F37" s="640"/>
    </row>
    <row r="38" spans="1:7">
      <c r="A38" s="640" t="s">
        <v>1079</v>
      </c>
      <c r="B38" s="639">
        <v>0</v>
      </c>
      <c r="C38" s="639">
        <v>0</v>
      </c>
      <c r="D38" s="640"/>
      <c r="E38" s="640"/>
      <c r="F38" s="640"/>
    </row>
    <row r="39" spans="1:7">
      <c r="A39" s="640" t="s">
        <v>1080</v>
      </c>
      <c r="B39" s="639">
        <v>0</v>
      </c>
      <c r="C39" s="639">
        <v>0</v>
      </c>
      <c r="D39" s="640"/>
      <c r="E39" s="640"/>
      <c r="F39" s="640"/>
    </row>
    <row r="40" spans="1:7">
      <c r="A40" s="650" t="s">
        <v>1081</v>
      </c>
      <c r="B40" s="639"/>
      <c r="C40" s="639"/>
      <c r="D40" s="640"/>
      <c r="E40" s="640"/>
      <c r="F40" s="640"/>
    </row>
    <row r="41" spans="1:7">
      <c r="A41" s="640" t="s">
        <v>1082</v>
      </c>
      <c r="B41" s="639">
        <v>0</v>
      </c>
      <c r="C41" s="639">
        <v>0</v>
      </c>
      <c r="D41" s="640"/>
      <c r="E41" s="640"/>
      <c r="F41" s="640"/>
    </row>
    <row r="42" spans="1:7">
      <c r="A42" s="640" t="s">
        <v>1083</v>
      </c>
      <c r="B42" s="639">
        <v>0</v>
      </c>
      <c r="C42" s="639">
        <v>0</v>
      </c>
      <c r="D42" s="640"/>
      <c r="E42" s="640"/>
      <c r="F42" s="640"/>
    </row>
    <row r="43" spans="1:7">
      <c r="A43" s="650" t="s">
        <v>1084</v>
      </c>
      <c r="B43" s="639"/>
      <c r="C43" s="639"/>
      <c r="D43" s="640"/>
      <c r="E43" s="640"/>
      <c r="F43" s="640"/>
    </row>
    <row r="44" spans="1:7">
      <c r="A44" s="640" t="s">
        <v>1085</v>
      </c>
      <c r="B44" s="639">
        <v>0</v>
      </c>
      <c r="C44" s="639">
        <v>0</v>
      </c>
      <c r="D44" s="640"/>
      <c r="E44" s="640"/>
      <c r="F44" s="640"/>
    </row>
    <row r="45" spans="1:7">
      <c r="A45" s="650" t="s">
        <v>1086</v>
      </c>
      <c r="B45" s="639"/>
      <c r="C45" s="639"/>
      <c r="D45" s="640"/>
      <c r="E45" s="640"/>
      <c r="F45" s="640"/>
    </row>
    <row r="46" spans="1:7">
      <c r="A46" s="640" t="s">
        <v>1087</v>
      </c>
      <c r="B46" s="639">
        <v>0</v>
      </c>
      <c r="C46" s="639">
        <v>0</v>
      </c>
      <c r="D46" s="640"/>
      <c r="E46" s="640"/>
      <c r="F46" s="640"/>
    </row>
    <row r="47" spans="1:7" ht="23.25" thickBot="1">
      <c r="A47" s="633" t="s">
        <v>35</v>
      </c>
      <c r="B47" s="652">
        <f>SUM(B9:B36)</f>
        <v>29402852.539999999</v>
      </c>
      <c r="C47" s="653">
        <f>SUM(C9:C36)</f>
        <v>29109252.539999999</v>
      </c>
      <c r="D47" s="654"/>
      <c r="E47" s="655">
        <f>SUM(E9:E36)</f>
        <v>29402852.539999999</v>
      </c>
      <c r="F47" s="655">
        <f>SUM(F9:F36)</f>
        <v>29109252.539999999</v>
      </c>
      <c r="G47" s="656"/>
    </row>
    <row r="48" spans="1:7" ht="18.75" customHeight="1" thickTop="1">
      <c r="A48" s="529" t="s">
        <v>36</v>
      </c>
      <c r="E48" s="523"/>
      <c r="F48" s="523"/>
    </row>
    <row r="49" spans="1:1">
      <c r="A49" s="244" t="s">
        <v>1311</v>
      </c>
    </row>
    <row r="50" spans="1:1">
      <c r="A50" s="244" t="s">
        <v>1312</v>
      </c>
    </row>
    <row r="51" spans="1:1">
      <c r="A51" s="244" t="s">
        <v>628</v>
      </c>
    </row>
  </sheetData>
  <mergeCells count="7">
    <mergeCell ref="A1:F1"/>
    <mergeCell ref="A2:F2"/>
    <mergeCell ref="A3:F3"/>
    <mergeCell ref="A5:A6"/>
    <mergeCell ref="B5:C6"/>
    <mergeCell ref="D5:F5"/>
    <mergeCell ref="E6:F6"/>
  </mergeCells>
  <pageMargins left="0.47244094488188981" right="0.19685039370078741" top="0.19685039370078741" bottom="0.23622047244094491" header="0.19685039370078741" footer="0.19685039370078741"/>
  <pageSetup paperSize="9"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2"/>
  <sheetViews>
    <sheetView topLeftCell="A33" workbookViewId="0">
      <selection activeCell="G57" sqref="G57"/>
    </sheetView>
  </sheetViews>
  <sheetFormatPr defaultColWidth="10.375" defaultRowHeight="18.75"/>
  <cols>
    <col min="1" max="1" width="23.5" style="267" customWidth="1"/>
    <col min="2" max="2" width="13" style="267" customWidth="1"/>
    <col min="3" max="3" width="11.375" style="267" customWidth="1"/>
    <col min="4" max="4" width="10.25" style="267" customWidth="1"/>
    <col min="5" max="5" width="9.75" style="267" customWidth="1"/>
    <col min="6" max="6" width="8.125" style="267" customWidth="1"/>
    <col min="7" max="7" width="11.625" style="267" customWidth="1"/>
    <col min="8" max="8" width="8.75" style="267" customWidth="1"/>
    <col min="9" max="9" width="15.5" style="267" customWidth="1"/>
    <col min="10" max="16384" width="10.375" style="267"/>
  </cols>
  <sheetData>
    <row r="1" spans="1:9">
      <c r="A1" s="732" t="s">
        <v>658</v>
      </c>
      <c r="B1" s="732"/>
      <c r="C1" s="732"/>
      <c r="D1" s="732"/>
      <c r="E1" s="732"/>
      <c r="F1" s="732"/>
      <c r="G1" s="732"/>
      <c r="H1" s="732"/>
    </row>
    <row r="2" spans="1:9">
      <c r="A2" s="732" t="s">
        <v>659</v>
      </c>
      <c r="B2" s="732"/>
      <c r="C2" s="732"/>
      <c r="D2" s="732"/>
      <c r="E2" s="732"/>
      <c r="F2" s="732"/>
      <c r="G2" s="732"/>
      <c r="H2" s="732"/>
    </row>
    <row r="3" spans="1:9">
      <c r="A3" s="733" t="s">
        <v>909</v>
      </c>
      <c r="B3" s="733"/>
      <c r="C3" s="732"/>
      <c r="D3" s="732"/>
      <c r="E3" s="732"/>
      <c r="F3" s="732"/>
      <c r="G3" s="732"/>
      <c r="H3" s="732"/>
    </row>
    <row r="4" spans="1:9">
      <c r="A4" s="734" t="s">
        <v>660</v>
      </c>
      <c r="B4" s="734"/>
      <c r="C4" s="734"/>
      <c r="D4" s="734"/>
      <c r="E4" s="734"/>
      <c r="F4" s="734"/>
      <c r="G4" s="734"/>
      <c r="H4" s="734"/>
    </row>
    <row r="5" spans="1:9">
      <c r="A5" s="517" t="s">
        <v>26</v>
      </c>
      <c r="B5" s="518" t="s">
        <v>910</v>
      </c>
      <c r="C5" s="518" t="s">
        <v>911</v>
      </c>
      <c r="D5" s="518" t="s">
        <v>661</v>
      </c>
      <c r="E5" s="518" t="s">
        <v>662</v>
      </c>
      <c r="F5" s="518" t="s">
        <v>663</v>
      </c>
      <c r="G5" s="268" t="s">
        <v>664</v>
      </c>
      <c r="H5" s="268" t="s">
        <v>12</v>
      </c>
      <c r="I5" s="462"/>
    </row>
    <row r="6" spans="1:9">
      <c r="A6" s="519" t="s">
        <v>665</v>
      </c>
      <c r="B6" s="269"/>
      <c r="C6" s="270"/>
      <c r="D6" s="270"/>
      <c r="E6" s="270"/>
      <c r="F6" s="270"/>
      <c r="G6" s="269"/>
      <c r="H6" s="269"/>
    </row>
    <row r="7" spans="1:9">
      <c r="A7" s="520" t="s">
        <v>615</v>
      </c>
      <c r="B7" s="271">
        <v>1415000</v>
      </c>
      <c r="C7" s="272">
        <v>0</v>
      </c>
      <c r="D7" s="272" t="s">
        <v>149</v>
      </c>
      <c r="E7" s="272"/>
      <c r="F7" s="273">
        <v>0</v>
      </c>
      <c r="G7" s="271">
        <v>1415000</v>
      </c>
      <c r="H7" s="274"/>
    </row>
    <row r="8" spans="1:9">
      <c r="A8" s="520" t="s">
        <v>666</v>
      </c>
      <c r="B8" s="271">
        <v>1444700</v>
      </c>
      <c r="C8" s="272">
        <v>0</v>
      </c>
      <c r="D8" s="272" t="s">
        <v>149</v>
      </c>
      <c r="E8" s="272"/>
      <c r="F8" s="273">
        <v>0</v>
      </c>
      <c r="G8" s="271">
        <v>1444700</v>
      </c>
      <c r="H8" s="274"/>
    </row>
    <row r="9" spans="1:9">
      <c r="A9" s="521" t="s">
        <v>616</v>
      </c>
      <c r="B9" s="271">
        <v>50000</v>
      </c>
      <c r="C9" s="272">
        <v>0</v>
      </c>
      <c r="D9" s="272" t="s">
        <v>149</v>
      </c>
      <c r="E9" s="272"/>
      <c r="F9" s="273">
        <v>0</v>
      </c>
      <c r="G9" s="271">
        <v>50000</v>
      </c>
      <c r="H9" s="274"/>
    </row>
    <row r="10" spans="1:9">
      <c r="A10" s="522" t="s">
        <v>617</v>
      </c>
      <c r="B10" s="271">
        <v>629000</v>
      </c>
      <c r="C10" s="272">
        <v>0</v>
      </c>
      <c r="D10" s="272" t="s">
        <v>149</v>
      </c>
      <c r="E10" s="272"/>
      <c r="F10" s="273">
        <v>0</v>
      </c>
      <c r="G10" s="271">
        <v>629000</v>
      </c>
      <c r="H10" s="274"/>
    </row>
    <row r="11" spans="1:9">
      <c r="A11" s="522" t="s">
        <v>618</v>
      </c>
      <c r="B11" s="271">
        <v>0</v>
      </c>
      <c r="C11" s="272">
        <v>0</v>
      </c>
      <c r="D11" s="272" t="s">
        <v>149</v>
      </c>
      <c r="E11" s="272"/>
      <c r="F11" s="273">
        <v>0</v>
      </c>
      <c r="G11" s="271">
        <f>SUM(C11:F11)</f>
        <v>0</v>
      </c>
      <c r="H11" s="274"/>
    </row>
    <row r="12" spans="1:9">
      <c r="A12" s="522" t="s">
        <v>619</v>
      </c>
      <c r="B12" s="271">
        <v>100000</v>
      </c>
      <c r="C12" s="272">
        <v>0</v>
      </c>
      <c r="D12" s="272" t="s">
        <v>149</v>
      </c>
      <c r="E12" s="272"/>
      <c r="F12" s="273">
        <v>0</v>
      </c>
      <c r="G12" s="271">
        <v>100000</v>
      </c>
      <c r="H12" s="274"/>
    </row>
    <row r="13" spans="1:9" ht="22.5">
      <c r="A13" s="522" t="s">
        <v>620</v>
      </c>
      <c r="B13" s="271">
        <v>36594</v>
      </c>
      <c r="C13" s="272">
        <v>0</v>
      </c>
      <c r="D13" s="272" t="s">
        <v>149</v>
      </c>
      <c r="E13" s="272"/>
      <c r="F13" s="273">
        <v>0</v>
      </c>
      <c r="G13" s="271">
        <v>36594</v>
      </c>
      <c r="H13" s="274"/>
      <c r="I13" s="523"/>
    </row>
    <row r="14" spans="1:9" ht="22.5">
      <c r="A14" s="522" t="s">
        <v>667</v>
      </c>
      <c r="B14" s="271">
        <v>22000</v>
      </c>
      <c r="C14" s="272">
        <v>0</v>
      </c>
      <c r="D14" s="272" t="s">
        <v>149</v>
      </c>
      <c r="E14" s="272"/>
      <c r="F14" s="273">
        <v>0</v>
      </c>
      <c r="G14" s="271">
        <v>22000</v>
      </c>
      <c r="H14" s="274"/>
      <c r="I14" s="523"/>
    </row>
    <row r="15" spans="1:9" ht="22.5">
      <c r="A15" s="522" t="s">
        <v>622</v>
      </c>
      <c r="B15" s="271">
        <v>0</v>
      </c>
      <c r="C15" s="272">
        <v>0</v>
      </c>
      <c r="D15" s="272" t="s">
        <v>149</v>
      </c>
      <c r="E15" s="272"/>
      <c r="F15" s="273">
        <v>0</v>
      </c>
      <c r="G15" s="271">
        <f>SUM(C15:F15)</f>
        <v>0</v>
      </c>
      <c r="H15" s="274"/>
      <c r="I15" s="523"/>
    </row>
    <row r="16" spans="1:9" ht="22.5">
      <c r="A16" s="522" t="s">
        <v>623</v>
      </c>
      <c r="B16" s="271">
        <v>528458.4</v>
      </c>
      <c r="C16" s="272">
        <v>0</v>
      </c>
      <c r="D16" s="272" t="s">
        <v>149</v>
      </c>
      <c r="E16" s="272"/>
      <c r="F16" s="273">
        <v>0</v>
      </c>
      <c r="G16" s="271">
        <v>528458.4</v>
      </c>
      <c r="H16" s="274"/>
      <c r="I16" s="523"/>
    </row>
    <row r="17" spans="1:9" ht="22.5">
      <c r="A17" s="522" t="s">
        <v>668</v>
      </c>
      <c r="B17" s="271">
        <v>112000</v>
      </c>
      <c r="C17" s="272">
        <v>0</v>
      </c>
      <c r="D17" s="272" t="s">
        <v>149</v>
      </c>
      <c r="E17" s="272"/>
      <c r="F17" s="273">
        <v>0</v>
      </c>
      <c r="G17" s="271">
        <v>112000</v>
      </c>
      <c r="H17" s="274"/>
      <c r="I17" s="523"/>
    </row>
    <row r="18" spans="1:9" ht="22.5">
      <c r="A18" s="522" t="s">
        <v>624</v>
      </c>
      <c r="B18" s="271">
        <v>98000</v>
      </c>
      <c r="C18" s="272">
        <v>0</v>
      </c>
      <c r="D18" s="272" t="s">
        <v>149</v>
      </c>
      <c r="E18" s="272"/>
      <c r="F18" s="273">
        <v>0</v>
      </c>
      <c r="G18" s="271">
        <v>98000</v>
      </c>
      <c r="H18" s="274"/>
      <c r="I18" s="523"/>
    </row>
    <row r="19" spans="1:9" ht="22.5">
      <c r="A19" s="522" t="s">
        <v>625</v>
      </c>
      <c r="B19" s="271">
        <v>9544264.4600000009</v>
      </c>
      <c r="C19" s="272">
        <v>0</v>
      </c>
      <c r="D19" s="272" t="s">
        <v>149</v>
      </c>
      <c r="E19" s="272"/>
      <c r="F19" s="273">
        <v>0</v>
      </c>
      <c r="G19" s="271">
        <v>9544264.4600000009</v>
      </c>
      <c r="H19" s="274"/>
      <c r="I19" s="523"/>
    </row>
    <row r="20" spans="1:9">
      <c r="A20" s="522" t="s">
        <v>626</v>
      </c>
      <c r="B20" s="271">
        <v>3310000</v>
      </c>
      <c r="C20" s="272">
        <v>0</v>
      </c>
      <c r="D20" s="272" t="s">
        <v>149</v>
      </c>
      <c r="E20" s="272">
        <v>153600</v>
      </c>
      <c r="F20" s="273">
        <v>0</v>
      </c>
      <c r="G20" s="271">
        <v>3463600</v>
      </c>
      <c r="H20" s="274"/>
    </row>
    <row r="21" spans="1:9">
      <c r="A21" s="522" t="s">
        <v>627</v>
      </c>
      <c r="B21" s="271">
        <v>1294500</v>
      </c>
      <c r="C21" s="272">
        <v>0</v>
      </c>
      <c r="D21" s="272" t="s">
        <v>149</v>
      </c>
      <c r="E21" s="272"/>
      <c r="F21" s="275">
        <v>0</v>
      </c>
      <c r="G21" s="271">
        <v>1294500</v>
      </c>
      <c r="H21" s="274"/>
    </row>
    <row r="22" spans="1:9">
      <c r="A22" s="524" t="s">
        <v>669</v>
      </c>
      <c r="B22" s="276">
        <f>SUM(B6:B21)</f>
        <v>18584516.859999999</v>
      </c>
      <c r="C22" s="277">
        <f>SUM(C7:C21)</f>
        <v>0</v>
      </c>
      <c r="D22" s="278"/>
      <c r="E22" s="278">
        <f>SUM(E7:E21)</f>
        <v>153600</v>
      </c>
      <c r="F22" s="273">
        <f>SUM(F7:F21)</f>
        <v>0</v>
      </c>
      <c r="G22" s="276">
        <f>SUM(G7:G21)</f>
        <v>18738116.859999999</v>
      </c>
      <c r="H22" s="279"/>
    </row>
    <row r="23" spans="1:9">
      <c r="A23" s="525" t="s">
        <v>670</v>
      </c>
      <c r="B23" s="280"/>
      <c r="C23" s="280"/>
      <c r="D23" s="280"/>
      <c r="E23" s="280"/>
      <c r="F23" s="280"/>
      <c r="G23" s="280"/>
      <c r="H23" s="280"/>
    </row>
    <row r="24" spans="1:9">
      <c r="A24" s="522" t="s">
        <v>671</v>
      </c>
      <c r="B24" s="274">
        <v>4463500</v>
      </c>
      <c r="C24" s="274">
        <v>0</v>
      </c>
      <c r="D24" s="274">
        <v>0</v>
      </c>
      <c r="E24" s="274"/>
      <c r="F24" s="274">
        <v>0</v>
      </c>
      <c r="G24" s="274">
        <f>SUM(B24:F24)</f>
        <v>4463500</v>
      </c>
      <c r="H24" s="274"/>
    </row>
    <row r="25" spans="1:9">
      <c r="A25" s="522" t="s">
        <v>672</v>
      </c>
      <c r="B25" s="274">
        <v>4266928.68</v>
      </c>
      <c r="C25" s="274">
        <v>128500</v>
      </c>
      <c r="D25" s="274">
        <v>58500</v>
      </c>
      <c r="E25" s="274"/>
      <c r="F25" s="274">
        <v>0</v>
      </c>
      <c r="G25" s="274">
        <f>B25+C25-D25+E25-F25</f>
        <v>4336928.68</v>
      </c>
      <c r="H25" s="274"/>
    </row>
    <row r="26" spans="1:9">
      <c r="A26" s="522" t="s">
        <v>673</v>
      </c>
      <c r="B26" s="274">
        <v>148300</v>
      </c>
      <c r="C26" s="274">
        <v>0</v>
      </c>
      <c r="D26" s="274">
        <v>0</v>
      </c>
      <c r="E26" s="274"/>
      <c r="F26" s="274"/>
      <c r="G26" s="274">
        <f t="shared" ref="G26:G39" si="0">B26+C26-D26+E26-F26</f>
        <v>148300</v>
      </c>
      <c r="H26" s="274"/>
    </row>
    <row r="27" spans="1:9">
      <c r="A27" s="522" t="s">
        <v>674</v>
      </c>
      <c r="B27" s="274">
        <v>75960</v>
      </c>
      <c r="C27" s="274">
        <v>0</v>
      </c>
      <c r="D27" s="274">
        <v>0</v>
      </c>
      <c r="E27" s="274"/>
      <c r="F27" s="274">
        <v>0</v>
      </c>
      <c r="G27" s="274">
        <f t="shared" si="0"/>
        <v>75960</v>
      </c>
      <c r="H27" s="274"/>
    </row>
    <row r="28" spans="1:9">
      <c r="A28" s="522" t="s">
        <v>675</v>
      </c>
      <c r="B28" s="274">
        <v>0</v>
      </c>
      <c r="C28" s="274">
        <v>0</v>
      </c>
      <c r="D28" s="274">
        <v>0</v>
      </c>
      <c r="E28" s="274"/>
      <c r="F28" s="274">
        <v>0</v>
      </c>
      <c r="G28" s="274">
        <f t="shared" si="0"/>
        <v>0</v>
      </c>
      <c r="H28" s="274"/>
    </row>
    <row r="29" spans="1:9">
      <c r="A29" s="522" t="s">
        <v>676</v>
      </c>
      <c r="B29" s="274">
        <v>12000</v>
      </c>
      <c r="C29" s="274">
        <v>0</v>
      </c>
      <c r="D29" s="274">
        <v>10200</v>
      </c>
      <c r="E29" s="274"/>
      <c r="F29" s="274">
        <v>0</v>
      </c>
      <c r="G29" s="274">
        <f t="shared" si="0"/>
        <v>1800</v>
      </c>
      <c r="H29" s="274"/>
    </row>
    <row r="30" spans="1:9">
      <c r="A30" s="522" t="s">
        <v>677</v>
      </c>
      <c r="B30" s="274">
        <v>0</v>
      </c>
      <c r="C30" s="274">
        <v>0</v>
      </c>
      <c r="D30" s="274">
        <v>0</v>
      </c>
      <c r="E30" s="274"/>
      <c r="F30" s="274">
        <v>0</v>
      </c>
      <c r="G30" s="274">
        <f t="shared" si="0"/>
        <v>0</v>
      </c>
      <c r="H30" s="274"/>
    </row>
    <row r="31" spans="1:9">
      <c r="A31" s="522" t="s">
        <v>678</v>
      </c>
      <c r="B31" s="274">
        <v>101500</v>
      </c>
      <c r="C31" s="274">
        <v>0</v>
      </c>
      <c r="D31" s="274">
        <v>0</v>
      </c>
      <c r="E31" s="274"/>
      <c r="F31" s="274">
        <v>0</v>
      </c>
      <c r="G31" s="274">
        <f t="shared" si="0"/>
        <v>101500</v>
      </c>
      <c r="H31" s="274"/>
    </row>
    <row r="32" spans="1:9">
      <c r="A32" s="522" t="s">
        <v>679</v>
      </c>
      <c r="B32" s="274">
        <v>0</v>
      </c>
      <c r="C32" s="274">
        <v>0</v>
      </c>
      <c r="D32" s="274">
        <v>0</v>
      </c>
      <c r="E32" s="274"/>
      <c r="F32" s="274">
        <v>0</v>
      </c>
      <c r="G32" s="274">
        <f t="shared" si="0"/>
        <v>0</v>
      </c>
      <c r="H32" s="274"/>
    </row>
    <row r="33" spans="1:9">
      <c r="A33" s="522" t="s">
        <v>680</v>
      </c>
      <c r="B33" s="274">
        <v>0</v>
      </c>
      <c r="C33" s="274">
        <v>29900</v>
      </c>
      <c r="D33" s="274">
        <v>0</v>
      </c>
      <c r="E33" s="274"/>
      <c r="F33" s="274">
        <v>0</v>
      </c>
      <c r="G33" s="274">
        <f t="shared" si="0"/>
        <v>29900</v>
      </c>
      <c r="H33" s="274"/>
    </row>
    <row r="34" spans="1:9">
      <c r="A34" s="522" t="s">
        <v>681</v>
      </c>
      <c r="B34" s="274">
        <v>675673</v>
      </c>
      <c r="C34" s="274">
        <v>61100</v>
      </c>
      <c r="D34" s="274">
        <v>18300</v>
      </c>
      <c r="E34" s="274"/>
      <c r="F34" s="274">
        <v>0</v>
      </c>
      <c r="G34" s="274">
        <f t="shared" si="0"/>
        <v>718473</v>
      </c>
      <c r="H34" s="274"/>
    </row>
    <row r="35" spans="1:9">
      <c r="A35" s="522" t="s">
        <v>682</v>
      </c>
      <c r="B35" s="274">
        <v>187474</v>
      </c>
      <c r="C35" s="274">
        <v>0</v>
      </c>
      <c r="D35" s="274">
        <v>0</v>
      </c>
      <c r="E35" s="274"/>
      <c r="F35" s="274">
        <v>0</v>
      </c>
      <c r="G35" s="274">
        <f t="shared" si="0"/>
        <v>187474</v>
      </c>
      <c r="H35" s="274"/>
    </row>
    <row r="36" spans="1:9">
      <c r="A36" s="522" t="s">
        <v>683</v>
      </c>
      <c r="B36" s="274">
        <v>0</v>
      </c>
      <c r="C36" s="274">
        <v>0</v>
      </c>
      <c r="D36" s="274">
        <v>0</v>
      </c>
      <c r="E36" s="274"/>
      <c r="F36" s="274">
        <v>0</v>
      </c>
      <c r="G36" s="274">
        <f t="shared" si="0"/>
        <v>0</v>
      </c>
      <c r="H36" s="274"/>
    </row>
    <row r="37" spans="1:9">
      <c r="A37" s="522" t="s">
        <v>684</v>
      </c>
      <c r="B37" s="274">
        <v>172000</v>
      </c>
      <c r="C37" s="274">
        <v>0</v>
      </c>
      <c r="D37" s="274">
        <v>0</v>
      </c>
      <c r="E37" s="274"/>
      <c r="F37" s="274">
        <v>0</v>
      </c>
      <c r="G37" s="274">
        <f t="shared" si="0"/>
        <v>172000</v>
      </c>
      <c r="H37" s="274"/>
    </row>
    <row r="38" spans="1:9">
      <c r="A38" s="522" t="s">
        <v>685</v>
      </c>
      <c r="B38" s="274">
        <v>377500</v>
      </c>
      <c r="C38" s="274">
        <v>0</v>
      </c>
      <c r="D38" s="274">
        <v>0</v>
      </c>
      <c r="E38" s="274"/>
      <c r="F38" s="274"/>
      <c r="G38" s="274">
        <f t="shared" si="0"/>
        <v>377500</v>
      </c>
      <c r="H38" s="274"/>
    </row>
    <row r="39" spans="1:9">
      <c r="A39" s="522" t="s">
        <v>686</v>
      </c>
      <c r="B39" s="281">
        <v>43900</v>
      </c>
      <c r="C39" s="274">
        <v>7500</v>
      </c>
      <c r="D39" s="274"/>
      <c r="E39" s="274"/>
      <c r="F39" s="274">
        <v>0</v>
      </c>
      <c r="G39" s="281">
        <f t="shared" si="0"/>
        <v>51400</v>
      </c>
      <c r="H39" s="274"/>
    </row>
    <row r="40" spans="1:9">
      <c r="A40" s="524" t="s">
        <v>687</v>
      </c>
      <c r="B40" s="282">
        <f>SUM(B23:B39)</f>
        <v>10524735.68</v>
      </c>
      <c r="C40" s="277">
        <f>SUM(C24:C39)</f>
        <v>227000</v>
      </c>
      <c r="D40" s="277">
        <f>SUM(D24:D39)</f>
        <v>87000</v>
      </c>
      <c r="E40" s="277">
        <f>SUM(E24:E39)</f>
        <v>0</v>
      </c>
      <c r="F40" s="277">
        <f>SUM(F24:F39)</f>
        <v>0</v>
      </c>
      <c r="G40" s="282">
        <f>SUM(G23:G39)</f>
        <v>10664735.68</v>
      </c>
      <c r="H40" s="277"/>
      <c r="I40" s="526"/>
    </row>
    <row r="41" spans="1:9" ht="19.5" thickBot="1">
      <c r="A41" s="527" t="s">
        <v>40</v>
      </c>
      <c r="B41" s="283">
        <f t="shared" ref="B41:G41" si="1">B22+B40</f>
        <v>29109252.539999999</v>
      </c>
      <c r="C41" s="283">
        <f t="shared" si="1"/>
        <v>227000</v>
      </c>
      <c r="D41" s="283">
        <f t="shared" si="1"/>
        <v>87000</v>
      </c>
      <c r="E41" s="283">
        <f t="shared" si="1"/>
        <v>153600</v>
      </c>
      <c r="F41" s="283">
        <f t="shared" si="1"/>
        <v>0</v>
      </c>
      <c r="G41" s="283">
        <f t="shared" si="1"/>
        <v>29402852.539999999</v>
      </c>
      <c r="H41" s="284"/>
    </row>
    <row r="42" spans="1:9" ht="19.5" thickTop="1">
      <c r="A42" s="285"/>
      <c r="B42" s="285"/>
      <c r="C42" s="285"/>
      <c r="D42" s="285"/>
      <c r="E42" s="285"/>
      <c r="F42" s="285"/>
      <c r="G42" s="285"/>
      <c r="H42" s="285"/>
      <c r="I42" s="528"/>
    </row>
  </sheetData>
  <mergeCells count="4">
    <mergeCell ref="A1:H1"/>
    <mergeCell ref="A2:H2"/>
    <mergeCell ref="A3:H3"/>
    <mergeCell ref="A4:H4"/>
  </mergeCells>
  <pageMargins left="0.4" right="0.19685039370078741" top="0.23622047244094491" bottom="0.27559055118110237" header="0.19685039370078741" footer="0.31496062992125984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D10" sqref="D10"/>
    </sheetView>
  </sheetViews>
  <sheetFormatPr defaultRowHeight="22.5"/>
  <cols>
    <col min="1" max="1" width="9.375" style="244" customWidth="1"/>
    <col min="2" max="2" width="11.5" style="244" customWidth="1"/>
    <col min="3" max="3" width="6" style="244" customWidth="1"/>
    <col min="4" max="4" width="36.5" style="244" customWidth="1"/>
    <col min="5" max="5" width="14.25" style="244" customWidth="1"/>
    <col min="6" max="6" width="1.875" style="244" customWidth="1"/>
    <col min="7" max="7" width="14" style="244" customWidth="1"/>
    <col min="8" max="16384" width="9" style="244"/>
  </cols>
  <sheetData>
    <row r="1" spans="1:7">
      <c r="A1" s="735" t="s">
        <v>141</v>
      </c>
      <c r="B1" s="735"/>
      <c r="C1" s="735"/>
      <c r="D1" s="735"/>
      <c r="E1" s="735"/>
      <c r="F1" s="735"/>
      <c r="G1" s="735"/>
    </row>
    <row r="2" spans="1:7">
      <c r="A2" s="735" t="s">
        <v>23</v>
      </c>
      <c r="B2" s="735"/>
      <c r="C2" s="735"/>
      <c r="D2" s="735"/>
      <c r="E2" s="735"/>
      <c r="F2" s="735"/>
      <c r="G2" s="735"/>
    </row>
    <row r="3" spans="1:7">
      <c r="A3" s="736" t="s">
        <v>917</v>
      </c>
      <c r="B3" s="736"/>
      <c r="C3" s="736"/>
      <c r="D3" s="736"/>
      <c r="E3" s="736"/>
      <c r="F3" s="736"/>
      <c r="G3" s="736"/>
    </row>
    <row r="4" spans="1:7">
      <c r="A4" s="443"/>
      <c r="B4" s="443"/>
      <c r="C4" s="443"/>
      <c r="D4" s="443"/>
      <c r="E4" s="443"/>
      <c r="F4" s="443"/>
      <c r="G4" s="443"/>
    </row>
    <row r="5" spans="1:7">
      <c r="A5" s="529" t="s">
        <v>792</v>
      </c>
      <c r="E5" s="530">
        <v>2562</v>
      </c>
      <c r="G5" s="530">
        <v>2561</v>
      </c>
    </row>
    <row r="6" spans="1:7">
      <c r="B6" s="244" t="s">
        <v>37</v>
      </c>
      <c r="E6" s="531">
        <v>0</v>
      </c>
      <c r="G6" s="531">
        <v>0</v>
      </c>
    </row>
    <row r="7" spans="1:7">
      <c r="B7" s="244" t="s">
        <v>793</v>
      </c>
      <c r="C7" s="244" t="s">
        <v>794</v>
      </c>
      <c r="D7" s="244" t="s">
        <v>143</v>
      </c>
      <c r="E7" s="523">
        <v>3368.07</v>
      </c>
      <c r="G7" s="523">
        <v>3342.95</v>
      </c>
    </row>
    <row r="8" spans="1:7">
      <c r="D8" s="244" t="s">
        <v>145</v>
      </c>
      <c r="E8" s="523">
        <v>24024.21</v>
      </c>
      <c r="G8" s="523">
        <v>0</v>
      </c>
    </row>
    <row r="9" spans="1:7">
      <c r="D9" s="244" t="s">
        <v>144</v>
      </c>
      <c r="E9" s="523">
        <v>2668829.0699999998</v>
      </c>
      <c r="G9" s="523">
        <v>3494384.85</v>
      </c>
    </row>
    <row r="10" spans="1:7">
      <c r="C10" s="244" t="s">
        <v>795</v>
      </c>
      <c r="D10" s="244" t="s">
        <v>146</v>
      </c>
      <c r="E10" s="523">
        <v>20579941.07</v>
      </c>
      <c r="G10" s="523">
        <v>16887900.34</v>
      </c>
    </row>
    <row r="11" spans="1:7">
      <c r="D11" s="244" t="s">
        <v>147</v>
      </c>
      <c r="E11" s="523">
        <v>44132.55</v>
      </c>
      <c r="G11" s="523">
        <v>43956.07</v>
      </c>
    </row>
    <row r="12" spans="1:7">
      <c r="D12" s="267" t="s">
        <v>1303</v>
      </c>
      <c r="E12" s="523">
        <v>10231322.5</v>
      </c>
      <c r="G12" s="523">
        <v>10115000</v>
      </c>
    </row>
    <row r="13" spans="1:7">
      <c r="C13" s="244" t="s">
        <v>796</v>
      </c>
      <c r="D13" s="244" t="s">
        <v>148</v>
      </c>
      <c r="E13" s="532">
        <v>54486.84</v>
      </c>
      <c r="G13" s="532">
        <v>54285.8</v>
      </c>
    </row>
    <row r="14" spans="1:7" ht="23.25" thickBot="1">
      <c r="B14" s="529" t="s">
        <v>35</v>
      </c>
      <c r="E14" s="533">
        <f>SUM(E6:E13)</f>
        <v>33606104.310000002</v>
      </c>
      <c r="G14" s="533">
        <f>SUM(G6:G13)</f>
        <v>30598870.010000002</v>
      </c>
    </row>
    <row r="15" spans="1:7" ht="23.25" thickTop="1">
      <c r="B15" s="529"/>
    </row>
    <row r="16" spans="1:7">
      <c r="B16" s="529"/>
    </row>
    <row r="17" spans="1:7">
      <c r="B17" s="529"/>
    </row>
    <row r="19" spans="1:7">
      <c r="A19" s="529" t="s">
        <v>1088</v>
      </c>
      <c r="E19" s="530">
        <v>2562</v>
      </c>
      <c r="G19" s="530">
        <v>2561</v>
      </c>
    </row>
    <row r="20" spans="1:7">
      <c r="B20" s="244" t="s">
        <v>1300</v>
      </c>
      <c r="E20" s="523">
        <v>19600</v>
      </c>
      <c r="G20" s="532">
        <v>0</v>
      </c>
    </row>
    <row r="21" spans="1:7" ht="23.25" thickBot="1">
      <c r="B21" s="529" t="s">
        <v>35</v>
      </c>
      <c r="E21" s="533">
        <v>19600</v>
      </c>
      <c r="F21" s="529"/>
      <c r="G21" s="534">
        <v>0</v>
      </c>
    </row>
    <row r="22" spans="1:7" ht="23.25" thickTop="1"/>
    <row r="26" spans="1:7">
      <c r="A26" s="529" t="s">
        <v>1089</v>
      </c>
      <c r="E26" s="530">
        <v>2562</v>
      </c>
      <c r="G26" s="530">
        <v>2561</v>
      </c>
    </row>
    <row r="27" spans="1:7">
      <c r="B27" s="244" t="s">
        <v>772</v>
      </c>
      <c r="E27" s="523">
        <v>42400</v>
      </c>
      <c r="G27" s="523">
        <v>42400</v>
      </c>
    </row>
    <row r="28" spans="1:7" ht="23.25" thickBot="1">
      <c r="B28" s="529" t="s">
        <v>35</v>
      </c>
      <c r="E28" s="533">
        <v>42400</v>
      </c>
      <c r="F28" s="529"/>
      <c r="G28" s="533">
        <v>42400</v>
      </c>
    </row>
    <row r="29" spans="1:7" ht="23.25" thickTop="1"/>
  </sheetData>
  <mergeCells count="3">
    <mergeCell ref="A1:G1"/>
    <mergeCell ref="A2:G2"/>
    <mergeCell ref="A3:G3"/>
  </mergeCells>
  <pageMargins left="0.23" right="0.21" top="0.38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L10" sqref="L10"/>
    </sheetView>
  </sheetViews>
  <sheetFormatPr defaultRowHeight="21"/>
  <cols>
    <col min="1" max="1" width="25.625" style="1" customWidth="1"/>
    <col min="2" max="2" width="9" style="22"/>
    <col min="3" max="3" width="7.75" style="26" customWidth="1"/>
    <col min="4" max="4" width="12.125" style="4" customWidth="1"/>
    <col min="5" max="5" width="11.125" style="22" customWidth="1"/>
    <col min="6" max="6" width="7.625" style="26" customWidth="1"/>
    <col min="7" max="7" width="14" style="4" customWidth="1"/>
    <col min="8" max="16384" width="9" style="1"/>
  </cols>
  <sheetData>
    <row r="1" spans="1:8" s="15" customFormat="1">
      <c r="A1" s="740" t="s">
        <v>141</v>
      </c>
      <c r="B1" s="740"/>
      <c r="C1" s="740"/>
      <c r="D1" s="740"/>
      <c r="E1" s="740"/>
      <c r="F1" s="740"/>
      <c r="G1" s="740"/>
    </row>
    <row r="2" spans="1:8" s="15" customFormat="1">
      <c r="A2" s="741" t="s">
        <v>23</v>
      </c>
      <c r="B2" s="741"/>
      <c r="C2" s="741"/>
      <c r="D2" s="741"/>
      <c r="E2" s="741"/>
      <c r="F2" s="741"/>
      <c r="G2" s="741"/>
      <c r="H2" s="18"/>
    </row>
    <row r="3" spans="1:8" s="15" customFormat="1">
      <c r="A3" s="742" t="s">
        <v>917</v>
      </c>
      <c r="B3" s="742"/>
      <c r="C3" s="742"/>
      <c r="D3" s="742"/>
      <c r="E3" s="742"/>
      <c r="F3" s="742"/>
      <c r="G3" s="742"/>
      <c r="H3" s="19"/>
    </row>
    <row r="4" spans="1:8" s="15" customFormat="1">
      <c r="A4" s="23"/>
      <c r="B4" s="23"/>
      <c r="C4" s="23"/>
      <c r="D4" s="23"/>
      <c r="E4" s="23"/>
      <c r="F4" s="23"/>
      <c r="G4" s="23"/>
      <c r="H4" s="19"/>
    </row>
    <row r="5" spans="1:8" s="15" customFormat="1">
      <c r="A5" s="16" t="s">
        <v>1093</v>
      </c>
      <c r="B5" s="28"/>
      <c r="C5" s="25"/>
      <c r="D5" s="14"/>
      <c r="E5" s="17"/>
      <c r="F5" s="27"/>
      <c r="G5" s="20"/>
      <c r="H5" s="14"/>
    </row>
    <row r="6" spans="1:8">
      <c r="A6" s="743" t="s">
        <v>43</v>
      </c>
      <c r="B6" s="739">
        <v>2562</v>
      </c>
      <c r="C6" s="739"/>
      <c r="D6" s="739"/>
      <c r="E6" s="739">
        <v>2561</v>
      </c>
      <c r="F6" s="739"/>
      <c r="G6" s="739"/>
    </row>
    <row r="7" spans="1:8" s="24" customFormat="1" ht="42">
      <c r="A7" s="743"/>
      <c r="B7" s="30" t="s">
        <v>44</v>
      </c>
      <c r="C7" s="31" t="s">
        <v>45</v>
      </c>
      <c r="D7" s="29" t="s">
        <v>32</v>
      </c>
      <c r="E7" s="30" t="s">
        <v>44</v>
      </c>
      <c r="F7" s="31" t="s">
        <v>45</v>
      </c>
      <c r="G7" s="29" t="s">
        <v>32</v>
      </c>
    </row>
    <row r="8" spans="1:8">
      <c r="A8" s="294" t="s">
        <v>46</v>
      </c>
      <c r="B8" s="295">
        <v>2558</v>
      </c>
      <c r="C8" s="296">
        <v>13</v>
      </c>
      <c r="D8" s="297">
        <v>781.14</v>
      </c>
      <c r="E8" s="295">
        <v>2558</v>
      </c>
      <c r="F8" s="296">
        <v>13</v>
      </c>
      <c r="G8" s="297">
        <v>781.14</v>
      </c>
    </row>
    <row r="9" spans="1:8">
      <c r="A9" s="298"/>
      <c r="B9" s="299">
        <v>2559</v>
      </c>
      <c r="C9" s="300">
        <v>53</v>
      </c>
      <c r="D9" s="301">
        <v>2911.18</v>
      </c>
      <c r="E9" s="299">
        <v>2559</v>
      </c>
      <c r="F9" s="300">
        <v>56</v>
      </c>
      <c r="G9" s="301">
        <v>3103.88</v>
      </c>
    </row>
    <row r="10" spans="1:8">
      <c r="A10" s="302"/>
      <c r="B10" s="303">
        <v>2560</v>
      </c>
      <c r="C10" s="304">
        <v>150</v>
      </c>
      <c r="D10" s="305">
        <v>7911.98</v>
      </c>
      <c r="E10" s="303">
        <v>2560</v>
      </c>
      <c r="F10" s="304">
        <v>163</v>
      </c>
      <c r="G10" s="305">
        <v>8398.9</v>
      </c>
    </row>
    <row r="11" spans="1:8">
      <c r="A11" s="438"/>
      <c r="B11" s="439">
        <v>2562</v>
      </c>
      <c r="C11" s="440">
        <v>163</v>
      </c>
      <c r="D11" s="441">
        <v>8428.98</v>
      </c>
      <c r="E11" s="439"/>
      <c r="F11" s="440"/>
      <c r="G11" s="441"/>
    </row>
    <row r="12" spans="1:8">
      <c r="A12" s="737" t="s">
        <v>35</v>
      </c>
      <c r="B12" s="737"/>
      <c r="C12" s="307">
        <f>SUM(C8:C11)</f>
        <v>379</v>
      </c>
      <c r="D12" s="308">
        <f>SUM(D8:D11)</f>
        <v>20033.28</v>
      </c>
      <c r="E12" s="306"/>
      <c r="F12" s="307">
        <v>911</v>
      </c>
      <c r="G12" s="308">
        <f>SUM(G8:G10)</f>
        <v>12283.92</v>
      </c>
    </row>
    <row r="13" spans="1:8" ht="21.75" thickBot="1">
      <c r="A13" s="738" t="s">
        <v>40</v>
      </c>
      <c r="B13" s="738"/>
      <c r="C13" s="309">
        <f>+C12</f>
        <v>379</v>
      </c>
      <c r="D13" s="310">
        <f>+D12</f>
        <v>20033.28</v>
      </c>
      <c r="E13" s="292"/>
      <c r="F13" s="309">
        <f>SUM(F12)</f>
        <v>911</v>
      </c>
      <c r="G13" s="310">
        <f>+G12</f>
        <v>12283.92</v>
      </c>
    </row>
    <row r="14" spans="1:8" ht="21.75" thickTop="1"/>
  </sheetData>
  <mergeCells count="8">
    <mergeCell ref="A12:B12"/>
    <mergeCell ref="A13:B13"/>
    <mergeCell ref="B6:D6"/>
    <mergeCell ref="E6:G6"/>
    <mergeCell ref="A1:G1"/>
    <mergeCell ref="A2:G2"/>
    <mergeCell ref="A3:G3"/>
    <mergeCell ref="A6:A7"/>
  </mergeCells>
  <printOptions horizontalCentered="1"/>
  <pageMargins left="0.59055118110236227" right="0.35433070866141736" top="0.74803149606299213" bottom="0.74803149606299213" header="0.31496062992125984" footer="0.31496062992125984"/>
  <pageSetup paperSize="9" orientation="portrait" verticalDpi="0" copies="2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64"/>
  <sheetViews>
    <sheetView workbookViewId="0">
      <selection activeCell="I15" sqref="I15"/>
    </sheetView>
  </sheetViews>
  <sheetFormatPr defaultRowHeight="24.75"/>
  <cols>
    <col min="1" max="1" width="26" style="43" customWidth="1"/>
    <col min="2" max="2" width="32.625" style="43" customWidth="1"/>
    <col min="3" max="3" width="12.375" style="43" customWidth="1"/>
    <col min="4" max="4" width="16.75" style="56" customWidth="1"/>
    <col min="5" max="256" width="9" style="43"/>
    <col min="257" max="257" width="26" style="43" customWidth="1"/>
    <col min="258" max="258" width="32.625" style="43" customWidth="1"/>
    <col min="259" max="259" width="12.375" style="43" customWidth="1"/>
    <col min="260" max="260" width="15.625" style="43" customWidth="1"/>
    <col min="261" max="512" width="9" style="43"/>
    <col min="513" max="513" width="26" style="43" customWidth="1"/>
    <col min="514" max="514" width="32.625" style="43" customWidth="1"/>
    <col min="515" max="515" width="12.375" style="43" customWidth="1"/>
    <col min="516" max="516" width="15.625" style="43" customWidth="1"/>
    <col min="517" max="768" width="9" style="43"/>
    <col min="769" max="769" width="26" style="43" customWidth="1"/>
    <col min="770" max="770" width="32.625" style="43" customWidth="1"/>
    <col min="771" max="771" width="12.375" style="43" customWidth="1"/>
    <col min="772" max="772" width="15.625" style="43" customWidth="1"/>
    <col min="773" max="1024" width="9" style="43"/>
    <col min="1025" max="1025" width="26" style="43" customWidth="1"/>
    <col min="1026" max="1026" width="32.625" style="43" customWidth="1"/>
    <col min="1027" max="1027" width="12.375" style="43" customWidth="1"/>
    <col min="1028" max="1028" width="15.625" style="43" customWidth="1"/>
    <col min="1029" max="1280" width="9" style="43"/>
    <col min="1281" max="1281" width="26" style="43" customWidth="1"/>
    <col min="1282" max="1282" width="32.625" style="43" customWidth="1"/>
    <col min="1283" max="1283" width="12.375" style="43" customWidth="1"/>
    <col min="1284" max="1284" width="15.625" style="43" customWidth="1"/>
    <col min="1285" max="1536" width="9" style="43"/>
    <col min="1537" max="1537" width="26" style="43" customWidth="1"/>
    <col min="1538" max="1538" width="32.625" style="43" customWidth="1"/>
    <col min="1539" max="1539" width="12.375" style="43" customWidth="1"/>
    <col min="1540" max="1540" width="15.625" style="43" customWidth="1"/>
    <col min="1541" max="1792" width="9" style="43"/>
    <col min="1793" max="1793" width="26" style="43" customWidth="1"/>
    <col min="1794" max="1794" width="32.625" style="43" customWidth="1"/>
    <col min="1795" max="1795" width="12.375" style="43" customWidth="1"/>
    <col min="1796" max="1796" width="15.625" style="43" customWidth="1"/>
    <col min="1797" max="2048" width="9" style="43"/>
    <col min="2049" max="2049" width="26" style="43" customWidth="1"/>
    <col min="2050" max="2050" width="32.625" style="43" customWidth="1"/>
    <col min="2051" max="2051" width="12.375" style="43" customWidth="1"/>
    <col min="2052" max="2052" width="15.625" style="43" customWidth="1"/>
    <col min="2053" max="2304" width="9" style="43"/>
    <col min="2305" max="2305" width="26" style="43" customWidth="1"/>
    <col min="2306" max="2306" width="32.625" style="43" customWidth="1"/>
    <col min="2307" max="2307" width="12.375" style="43" customWidth="1"/>
    <col min="2308" max="2308" width="15.625" style="43" customWidth="1"/>
    <col min="2309" max="2560" width="9" style="43"/>
    <col min="2561" max="2561" width="26" style="43" customWidth="1"/>
    <col min="2562" max="2562" width="32.625" style="43" customWidth="1"/>
    <col min="2563" max="2563" width="12.375" style="43" customWidth="1"/>
    <col min="2564" max="2564" width="15.625" style="43" customWidth="1"/>
    <col min="2565" max="2816" width="9" style="43"/>
    <col min="2817" max="2817" width="26" style="43" customWidth="1"/>
    <col min="2818" max="2818" width="32.625" style="43" customWidth="1"/>
    <col min="2819" max="2819" width="12.375" style="43" customWidth="1"/>
    <col min="2820" max="2820" width="15.625" style="43" customWidth="1"/>
    <col min="2821" max="3072" width="9" style="43"/>
    <col min="3073" max="3073" width="26" style="43" customWidth="1"/>
    <col min="3074" max="3074" width="32.625" style="43" customWidth="1"/>
    <col min="3075" max="3075" width="12.375" style="43" customWidth="1"/>
    <col min="3076" max="3076" width="15.625" style="43" customWidth="1"/>
    <col min="3077" max="3328" width="9" style="43"/>
    <col min="3329" max="3329" width="26" style="43" customWidth="1"/>
    <col min="3330" max="3330" width="32.625" style="43" customWidth="1"/>
    <col min="3331" max="3331" width="12.375" style="43" customWidth="1"/>
    <col min="3332" max="3332" width="15.625" style="43" customWidth="1"/>
    <col min="3333" max="3584" width="9" style="43"/>
    <col min="3585" max="3585" width="26" style="43" customWidth="1"/>
    <col min="3586" max="3586" width="32.625" style="43" customWidth="1"/>
    <col min="3587" max="3587" width="12.375" style="43" customWidth="1"/>
    <col min="3588" max="3588" width="15.625" style="43" customWidth="1"/>
    <col min="3589" max="3840" width="9" style="43"/>
    <col min="3841" max="3841" width="26" style="43" customWidth="1"/>
    <col min="3842" max="3842" width="32.625" style="43" customWidth="1"/>
    <col min="3843" max="3843" width="12.375" style="43" customWidth="1"/>
    <col min="3844" max="3844" width="15.625" style="43" customWidth="1"/>
    <col min="3845" max="4096" width="9" style="43"/>
    <col min="4097" max="4097" width="26" style="43" customWidth="1"/>
    <col min="4098" max="4098" width="32.625" style="43" customWidth="1"/>
    <col min="4099" max="4099" width="12.375" style="43" customWidth="1"/>
    <col min="4100" max="4100" width="15.625" style="43" customWidth="1"/>
    <col min="4101" max="4352" width="9" style="43"/>
    <col min="4353" max="4353" width="26" style="43" customWidth="1"/>
    <col min="4354" max="4354" width="32.625" style="43" customWidth="1"/>
    <col min="4355" max="4355" width="12.375" style="43" customWidth="1"/>
    <col min="4356" max="4356" width="15.625" style="43" customWidth="1"/>
    <col min="4357" max="4608" width="9" style="43"/>
    <col min="4609" max="4609" width="26" style="43" customWidth="1"/>
    <col min="4610" max="4610" width="32.625" style="43" customWidth="1"/>
    <col min="4611" max="4611" width="12.375" style="43" customWidth="1"/>
    <col min="4612" max="4612" width="15.625" style="43" customWidth="1"/>
    <col min="4613" max="4864" width="9" style="43"/>
    <col min="4865" max="4865" width="26" style="43" customWidth="1"/>
    <col min="4866" max="4866" width="32.625" style="43" customWidth="1"/>
    <col min="4867" max="4867" width="12.375" style="43" customWidth="1"/>
    <col min="4868" max="4868" width="15.625" style="43" customWidth="1"/>
    <col min="4869" max="5120" width="9" style="43"/>
    <col min="5121" max="5121" width="26" style="43" customWidth="1"/>
    <col min="5122" max="5122" width="32.625" style="43" customWidth="1"/>
    <col min="5123" max="5123" width="12.375" style="43" customWidth="1"/>
    <col min="5124" max="5124" width="15.625" style="43" customWidth="1"/>
    <col min="5125" max="5376" width="9" style="43"/>
    <col min="5377" max="5377" width="26" style="43" customWidth="1"/>
    <col min="5378" max="5378" width="32.625" style="43" customWidth="1"/>
    <col min="5379" max="5379" width="12.375" style="43" customWidth="1"/>
    <col min="5380" max="5380" width="15.625" style="43" customWidth="1"/>
    <col min="5381" max="5632" width="9" style="43"/>
    <col min="5633" max="5633" width="26" style="43" customWidth="1"/>
    <col min="5634" max="5634" width="32.625" style="43" customWidth="1"/>
    <col min="5635" max="5635" width="12.375" style="43" customWidth="1"/>
    <col min="5636" max="5636" width="15.625" style="43" customWidth="1"/>
    <col min="5637" max="5888" width="9" style="43"/>
    <col min="5889" max="5889" width="26" style="43" customWidth="1"/>
    <col min="5890" max="5890" width="32.625" style="43" customWidth="1"/>
    <col min="5891" max="5891" width="12.375" style="43" customWidth="1"/>
    <col min="5892" max="5892" width="15.625" style="43" customWidth="1"/>
    <col min="5893" max="6144" width="9" style="43"/>
    <col min="6145" max="6145" width="26" style="43" customWidth="1"/>
    <col min="6146" max="6146" width="32.625" style="43" customWidth="1"/>
    <col min="6147" max="6147" width="12.375" style="43" customWidth="1"/>
    <col min="6148" max="6148" width="15.625" style="43" customWidth="1"/>
    <col min="6149" max="6400" width="9" style="43"/>
    <col min="6401" max="6401" width="26" style="43" customWidth="1"/>
    <col min="6402" max="6402" width="32.625" style="43" customWidth="1"/>
    <col min="6403" max="6403" width="12.375" style="43" customWidth="1"/>
    <col min="6404" max="6404" width="15.625" style="43" customWidth="1"/>
    <col min="6405" max="6656" width="9" style="43"/>
    <col min="6657" max="6657" width="26" style="43" customWidth="1"/>
    <col min="6658" max="6658" width="32.625" style="43" customWidth="1"/>
    <col min="6659" max="6659" width="12.375" style="43" customWidth="1"/>
    <col min="6660" max="6660" width="15.625" style="43" customWidth="1"/>
    <col min="6661" max="6912" width="9" style="43"/>
    <col min="6913" max="6913" width="26" style="43" customWidth="1"/>
    <col min="6914" max="6914" width="32.625" style="43" customWidth="1"/>
    <col min="6915" max="6915" width="12.375" style="43" customWidth="1"/>
    <col min="6916" max="6916" width="15.625" style="43" customWidth="1"/>
    <col min="6917" max="7168" width="9" style="43"/>
    <col min="7169" max="7169" width="26" style="43" customWidth="1"/>
    <col min="7170" max="7170" width="32.625" style="43" customWidth="1"/>
    <col min="7171" max="7171" width="12.375" style="43" customWidth="1"/>
    <col min="7172" max="7172" width="15.625" style="43" customWidth="1"/>
    <col min="7173" max="7424" width="9" style="43"/>
    <col min="7425" max="7425" width="26" style="43" customWidth="1"/>
    <col min="7426" max="7426" width="32.625" style="43" customWidth="1"/>
    <col min="7427" max="7427" width="12.375" style="43" customWidth="1"/>
    <col min="7428" max="7428" width="15.625" style="43" customWidth="1"/>
    <col min="7429" max="7680" width="9" style="43"/>
    <col min="7681" max="7681" width="26" style="43" customWidth="1"/>
    <col min="7682" max="7682" width="32.625" style="43" customWidth="1"/>
    <col min="7683" max="7683" width="12.375" style="43" customWidth="1"/>
    <col min="7684" max="7684" width="15.625" style="43" customWidth="1"/>
    <col min="7685" max="7936" width="9" style="43"/>
    <col min="7937" max="7937" width="26" style="43" customWidth="1"/>
    <col min="7938" max="7938" width="32.625" style="43" customWidth="1"/>
    <col min="7939" max="7939" width="12.375" style="43" customWidth="1"/>
    <col min="7940" max="7940" width="15.625" style="43" customWidth="1"/>
    <col min="7941" max="8192" width="9" style="43"/>
    <col min="8193" max="8193" width="26" style="43" customWidth="1"/>
    <col min="8194" max="8194" width="32.625" style="43" customWidth="1"/>
    <col min="8195" max="8195" width="12.375" style="43" customWidth="1"/>
    <col min="8196" max="8196" width="15.625" style="43" customWidth="1"/>
    <col min="8197" max="8448" width="9" style="43"/>
    <col min="8449" max="8449" width="26" style="43" customWidth="1"/>
    <col min="8450" max="8450" width="32.625" style="43" customWidth="1"/>
    <col min="8451" max="8451" width="12.375" style="43" customWidth="1"/>
    <col min="8452" max="8452" width="15.625" style="43" customWidth="1"/>
    <col min="8453" max="8704" width="9" style="43"/>
    <col min="8705" max="8705" width="26" style="43" customWidth="1"/>
    <col min="8706" max="8706" width="32.625" style="43" customWidth="1"/>
    <col min="8707" max="8707" width="12.375" style="43" customWidth="1"/>
    <col min="8708" max="8708" width="15.625" style="43" customWidth="1"/>
    <col min="8709" max="8960" width="9" style="43"/>
    <col min="8961" max="8961" width="26" style="43" customWidth="1"/>
    <col min="8962" max="8962" width="32.625" style="43" customWidth="1"/>
    <col min="8963" max="8963" width="12.375" style="43" customWidth="1"/>
    <col min="8964" max="8964" width="15.625" style="43" customWidth="1"/>
    <col min="8965" max="9216" width="9" style="43"/>
    <col min="9217" max="9217" width="26" style="43" customWidth="1"/>
    <col min="9218" max="9218" width="32.625" style="43" customWidth="1"/>
    <col min="9219" max="9219" width="12.375" style="43" customWidth="1"/>
    <col min="9220" max="9220" width="15.625" style="43" customWidth="1"/>
    <col min="9221" max="9472" width="9" style="43"/>
    <col min="9473" max="9473" width="26" style="43" customWidth="1"/>
    <col min="9474" max="9474" width="32.625" style="43" customWidth="1"/>
    <col min="9475" max="9475" width="12.375" style="43" customWidth="1"/>
    <col min="9476" max="9476" width="15.625" style="43" customWidth="1"/>
    <col min="9477" max="9728" width="9" style="43"/>
    <col min="9729" max="9729" width="26" style="43" customWidth="1"/>
    <col min="9730" max="9730" width="32.625" style="43" customWidth="1"/>
    <col min="9731" max="9731" width="12.375" style="43" customWidth="1"/>
    <col min="9732" max="9732" width="15.625" style="43" customWidth="1"/>
    <col min="9733" max="9984" width="9" style="43"/>
    <col min="9985" max="9985" width="26" style="43" customWidth="1"/>
    <col min="9986" max="9986" width="32.625" style="43" customWidth="1"/>
    <col min="9987" max="9987" width="12.375" style="43" customWidth="1"/>
    <col min="9988" max="9988" width="15.625" style="43" customWidth="1"/>
    <col min="9989" max="10240" width="9" style="43"/>
    <col min="10241" max="10241" width="26" style="43" customWidth="1"/>
    <col min="10242" max="10242" width="32.625" style="43" customWidth="1"/>
    <col min="10243" max="10243" width="12.375" style="43" customWidth="1"/>
    <col min="10244" max="10244" width="15.625" style="43" customWidth="1"/>
    <col min="10245" max="10496" width="9" style="43"/>
    <col min="10497" max="10497" width="26" style="43" customWidth="1"/>
    <col min="10498" max="10498" width="32.625" style="43" customWidth="1"/>
    <col min="10499" max="10499" width="12.375" style="43" customWidth="1"/>
    <col min="10500" max="10500" width="15.625" style="43" customWidth="1"/>
    <col min="10501" max="10752" width="9" style="43"/>
    <col min="10753" max="10753" width="26" style="43" customWidth="1"/>
    <col min="10754" max="10754" width="32.625" style="43" customWidth="1"/>
    <col min="10755" max="10755" width="12.375" style="43" customWidth="1"/>
    <col min="10756" max="10756" width="15.625" style="43" customWidth="1"/>
    <col min="10757" max="11008" width="9" style="43"/>
    <col min="11009" max="11009" width="26" style="43" customWidth="1"/>
    <col min="11010" max="11010" width="32.625" style="43" customWidth="1"/>
    <col min="11011" max="11011" width="12.375" style="43" customWidth="1"/>
    <col min="11012" max="11012" width="15.625" style="43" customWidth="1"/>
    <col min="11013" max="11264" width="9" style="43"/>
    <col min="11265" max="11265" width="26" style="43" customWidth="1"/>
    <col min="11266" max="11266" width="32.625" style="43" customWidth="1"/>
    <col min="11267" max="11267" width="12.375" style="43" customWidth="1"/>
    <col min="11268" max="11268" width="15.625" style="43" customWidth="1"/>
    <col min="11269" max="11520" width="9" style="43"/>
    <col min="11521" max="11521" width="26" style="43" customWidth="1"/>
    <col min="11522" max="11522" width="32.625" style="43" customWidth="1"/>
    <col min="11523" max="11523" width="12.375" style="43" customWidth="1"/>
    <col min="11524" max="11524" width="15.625" style="43" customWidth="1"/>
    <col min="11525" max="11776" width="9" style="43"/>
    <col min="11777" max="11777" width="26" style="43" customWidth="1"/>
    <col min="11778" max="11778" width="32.625" style="43" customWidth="1"/>
    <col min="11779" max="11779" width="12.375" style="43" customWidth="1"/>
    <col min="11780" max="11780" width="15.625" style="43" customWidth="1"/>
    <col min="11781" max="12032" width="9" style="43"/>
    <col min="12033" max="12033" width="26" style="43" customWidth="1"/>
    <col min="12034" max="12034" width="32.625" style="43" customWidth="1"/>
    <col min="12035" max="12035" width="12.375" style="43" customWidth="1"/>
    <col min="12036" max="12036" width="15.625" style="43" customWidth="1"/>
    <col min="12037" max="12288" width="9" style="43"/>
    <col min="12289" max="12289" width="26" style="43" customWidth="1"/>
    <col min="12290" max="12290" width="32.625" style="43" customWidth="1"/>
    <col min="12291" max="12291" width="12.375" style="43" customWidth="1"/>
    <col min="12292" max="12292" width="15.625" style="43" customWidth="1"/>
    <col min="12293" max="12544" width="9" style="43"/>
    <col min="12545" max="12545" width="26" style="43" customWidth="1"/>
    <col min="12546" max="12546" width="32.625" style="43" customWidth="1"/>
    <col min="12547" max="12547" width="12.375" style="43" customWidth="1"/>
    <col min="12548" max="12548" width="15.625" style="43" customWidth="1"/>
    <col min="12549" max="12800" width="9" style="43"/>
    <col min="12801" max="12801" width="26" style="43" customWidth="1"/>
    <col min="12802" max="12802" width="32.625" style="43" customWidth="1"/>
    <col min="12803" max="12803" width="12.375" style="43" customWidth="1"/>
    <col min="12804" max="12804" width="15.625" style="43" customWidth="1"/>
    <col min="12805" max="13056" width="9" style="43"/>
    <col min="13057" max="13057" width="26" style="43" customWidth="1"/>
    <col min="13058" max="13058" width="32.625" style="43" customWidth="1"/>
    <col min="13059" max="13059" width="12.375" style="43" customWidth="1"/>
    <col min="13060" max="13060" width="15.625" style="43" customWidth="1"/>
    <col min="13061" max="13312" width="9" style="43"/>
    <col min="13313" max="13313" width="26" style="43" customWidth="1"/>
    <col min="13314" max="13314" width="32.625" style="43" customWidth="1"/>
    <col min="13315" max="13315" width="12.375" style="43" customWidth="1"/>
    <col min="13316" max="13316" width="15.625" style="43" customWidth="1"/>
    <col min="13317" max="13568" width="9" style="43"/>
    <col min="13569" max="13569" width="26" style="43" customWidth="1"/>
    <col min="13570" max="13570" width="32.625" style="43" customWidth="1"/>
    <col min="13571" max="13571" width="12.375" style="43" customWidth="1"/>
    <col min="13572" max="13572" width="15.625" style="43" customWidth="1"/>
    <col min="13573" max="13824" width="9" style="43"/>
    <col min="13825" max="13825" width="26" style="43" customWidth="1"/>
    <col min="13826" max="13826" width="32.625" style="43" customWidth="1"/>
    <col min="13827" max="13827" width="12.375" style="43" customWidth="1"/>
    <col min="13828" max="13828" width="15.625" style="43" customWidth="1"/>
    <col min="13829" max="14080" width="9" style="43"/>
    <col min="14081" max="14081" width="26" style="43" customWidth="1"/>
    <col min="14082" max="14082" width="32.625" style="43" customWidth="1"/>
    <col min="14083" max="14083" width="12.375" style="43" customWidth="1"/>
    <col min="14084" max="14084" width="15.625" style="43" customWidth="1"/>
    <col min="14085" max="14336" width="9" style="43"/>
    <col min="14337" max="14337" width="26" style="43" customWidth="1"/>
    <col min="14338" max="14338" width="32.625" style="43" customWidth="1"/>
    <col min="14339" max="14339" width="12.375" style="43" customWidth="1"/>
    <col min="14340" max="14340" width="15.625" style="43" customWidth="1"/>
    <col min="14341" max="14592" width="9" style="43"/>
    <col min="14593" max="14593" width="26" style="43" customWidth="1"/>
    <col min="14594" max="14594" width="32.625" style="43" customWidth="1"/>
    <col min="14595" max="14595" width="12.375" style="43" customWidth="1"/>
    <col min="14596" max="14596" width="15.625" style="43" customWidth="1"/>
    <col min="14597" max="14848" width="9" style="43"/>
    <col min="14849" max="14849" width="26" style="43" customWidth="1"/>
    <col min="14850" max="14850" width="32.625" style="43" customWidth="1"/>
    <col min="14851" max="14851" width="12.375" style="43" customWidth="1"/>
    <col min="14852" max="14852" width="15.625" style="43" customWidth="1"/>
    <col min="14853" max="15104" width="9" style="43"/>
    <col min="15105" max="15105" width="26" style="43" customWidth="1"/>
    <col min="15106" max="15106" width="32.625" style="43" customWidth="1"/>
    <col min="15107" max="15107" width="12.375" style="43" customWidth="1"/>
    <col min="15108" max="15108" width="15.625" style="43" customWidth="1"/>
    <col min="15109" max="15360" width="9" style="43"/>
    <col min="15361" max="15361" width="26" style="43" customWidth="1"/>
    <col min="15362" max="15362" width="32.625" style="43" customWidth="1"/>
    <col min="15363" max="15363" width="12.375" style="43" customWidth="1"/>
    <col min="15364" max="15364" width="15.625" style="43" customWidth="1"/>
    <col min="15365" max="15616" width="9" style="43"/>
    <col min="15617" max="15617" width="26" style="43" customWidth="1"/>
    <col min="15618" max="15618" width="32.625" style="43" customWidth="1"/>
    <col min="15619" max="15619" width="12.375" style="43" customWidth="1"/>
    <col min="15620" max="15620" width="15.625" style="43" customWidth="1"/>
    <col min="15621" max="15872" width="9" style="43"/>
    <col min="15873" max="15873" width="26" style="43" customWidth="1"/>
    <col min="15874" max="15874" width="32.625" style="43" customWidth="1"/>
    <col min="15875" max="15875" width="12.375" style="43" customWidth="1"/>
    <col min="15876" max="15876" width="15.625" style="43" customWidth="1"/>
    <col min="15877" max="16128" width="9" style="43"/>
    <col min="16129" max="16129" width="26" style="43" customWidth="1"/>
    <col min="16130" max="16130" width="32.625" style="43" customWidth="1"/>
    <col min="16131" max="16131" width="12.375" style="43" customWidth="1"/>
    <col min="16132" max="16132" width="15.625" style="43" customWidth="1"/>
    <col min="16133" max="16384" width="9" style="43"/>
  </cols>
  <sheetData>
    <row r="1" spans="1:4" ht="24.75" customHeight="1">
      <c r="A1" s="747" t="s">
        <v>150</v>
      </c>
      <c r="B1" s="747"/>
      <c r="C1" s="747"/>
      <c r="D1" s="747"/>
    </row>
    <row r="2" spans="1:4" ht="24.75" customHeight="1">
      <c r="A2" s="747" t="s">
        <v>23</v>
      </c>
      <c r="B2" s="747"/>
      <c r="C2" s="747"/>
      <c r="D2" s="747"/>
    </row>
    <row r="3" spans="1:4" ht="24.75" customHeight="1">
      <c r="A3" s="747" t="s">
        <v>916</v>
      </c>
      <c r="B3" s="747"/>
      <c r="C3" s="747"/>
      <c r="D3" s="747"/>
    </row>
    <row r="4" spans="1:4">
      <c r="A4" s="46" t="s">
        <v>1094</v>
      </c>
    </row>
    <row r="5" spans="1:4">
      <c r="A5" s="535" t="s">
        <v>913</v>
      </c>
    </row>
    <row r="6" spans="1:4">
      <c r="A6" s="536" t="s">
        <v>38</v>
      </c>
      <c r="B6" s="748" t="s">
        <v>47</v>
      </c>
      <c r="C6" s="748"/>
      <c r="D6" s="537" t="s">
        <v>32</v>
      </c>
    </row>
    <row r="7" spans="1:4">
      <c r="A7" s="538" t="s">
        <v>151</v>
      </c>
      <c r="B7" s="749" t="s">
        <v>152</v>
      </c>
      <c r="C7" s="750"/>
      <c r="D7" s="539">
        <v>100000</v>
      </c>
    </row>
    <row r="8" spans="1:4">
      <c r="A8" s="538" t="s">
        <v>153</v>
      </c>
      <c r="B8" s="744" t="s">
        <v>773</v>
      </c>
      <c r="C8" s="745"/>
      <c r="D8" s="540">
        <v>100000</v>
      </c>
    </row>
    <row r="9" spans="1:4">
      <c r="A9" s="538" t="s">
        <v>154</v>
      </c>
      <c r="B9" s="746" t="s">
        <v>155</v>
      </c>
      <c r="C9" s="746"/>
      <c r="D9" s="540">
        <v>100000</v>
      </c>
    </row>
    <row r="10" spans="1:4">
      <c r="A10" s="538" t="s">
        <v>156</v>
      </c>
      <c r="B10" s="746" t="s">
        <v>157</v>
      </c>
      <c r="C10" s="746"/>
      <c r="D10" s="540">
        <v>10632</v>
      </c>
    </row>
    <row r="11" spans="1:4">
      <c r="A11" s="538" t="s">
        <v>156</v>
      </c>
      <c r="B11" s="746" t="s">
        <v>158</v>
      </c>
      <c r="C11" s="746"/>
      <c r="D11" s="540">
        <v>100000</v>
      </c>
    </row>
    <row r="12" spans="1:4">
      <c r="A12" s="538" t="s">
        <v>159</v>
      </c>
      <c r="B12" s="746" t="s">
        <v>160</v>
      </c>
      <c r="C12" s="746"/>
      <c r="D12" s="540">
        <v>50000</v>
      </c>
    </row>
    <row r="13" spans="1:4">
      <c r="A13" s="538" t="s">
        <v>161</v>
      </c>
      <c r="B13" s="746" t="s">
        <v>162</v>
      </c>
      <c r="C13" s="746"/>
      <c r="D13" s="540">
        <v>50000</v>
      </c>
    </row>
    <row r="14" spans="1:4">
      <c r="A14" s="538" t="s">
        <v>163</v>
      </c>
      <c r="B14" s="746" t="s">
        <v>164</v>
      </c>
      <c r="C14" s="746"/>
      <c r="D14" s="540">
        <v>10632</v>
      </c>
    </row>
    <row r="15" spans="1:4">
      <c r="A15" s="538" t="s">
        <v>165</v>
      </c>
      <c r="B15" s="746" t="s">
        <v>166</v>
      </c>
      <c r="C15" s="746"/>
      <c r="D15" s="540">
        <v>100000</v>
      </c>
    </row>
    <row r="16" spans="1:4">
      <c r="A16" s="538" t="s">
        <v>167</v>
      </c>
      <c r="B16" s="746" t="s">
        <v>168</v>
      </c>
      <c r="C16" s="746"/>
      <c r="D16" s="540">
        <v>10632</v>
      </c>
    </row>
    <row r="17" spans="1:4">
      <c r="A17" s="538" t="s">
        <v>169</v>
      </c>
      <c r="B17" s="746" t="s">
        <v>170</v>
      </c>
      <c r="C17" s="746"/>
      <c r="D17" s="540">
        <v>100000</v>
      </c>
    </row>
    <row r="18" spans="1:4">
      <c r="A18" s="538" t="s">
        <v>171</v>
      </c>
      <c r="B18" s="746" t="s">
        <v>172</v>
      </c>
      <c r="C18" s="746"/>
      <c r="D18" s="540">
        <v>100000</v>
      </c>
    </row>
    <row r="19" spans="1:4">
      <c r="A19" s="538" t="s">
        <v>171</v>
      </c>
      <c r="B19" s="746" t="s">
        <v>173</v>
      </c>
      <c r="C19" s="746"/>
      <c r="D19" s="540">
        <v>10632</v>
      </c>
    </row>
    <row r="20" spans="1:4">
      <c r="A20" s="538" t="s">
        <v>174</v>
      </c>
      <c r="B20" s="746" t="s">
        <v>175</v>
      </c>
      <c r="C20" s="746"/>
      <c r="D20" s="540">
        <v>100000</v>
      </c>
    </row>
    <row r="21" spans="1:4">
      <c r="A21" s="538" t="s">
        <v>176</v>
      </c>
      <c r="B21" s="746" t="s">
        <v>177</v>
      </c>
      <c r="C21" s="746"/>
      <c r="D21" s="540">
        <v>100000</v>
      </c>
    </row>
    <row r="22" spans="1:4">
      <c r="A22" s="538" t="s">
        <v>178</v>
      </c>
      <c r="B22" s="746" t="s">
        <v>179</v>
      </c>
      <c r="C22" s="746"/>
      <c r="D22" s="540">
        <v>10632</v>
      </c>
    </row>
    <row r="23" spans="1:4">
      <c r="A23" s="538" t="s">
        <v>180</v>
      </c>
      <c r="B23" s="746" t="s">
        <v>181</v>
      </c>
      <c r="C23" s="746"/>
      <c r="D23" s="540">
        <v>100000</v>
      </c>
    </row>
    <row r="24" spans="1:4">
      <c r="A24" s="538" t="s">
        <v>182</v>
      </c>
      <c r="B24" s="746" t="s">
        <v>183</v>
      </c>
      <c r="C24" s="746"/>
      <c r="D24" s="540">
        <v>100000</v>
      </c>
    </row>
    <row r="25" spans="1:4">
      <c r="A25" s="538" t="s">
        <v>184</v>
      </c>
      <c r="B25" s="746" t="s">
        <v>774</v>
      </c>
      <c r="C25" s="746"/>
      <c r="D25" s="540">
        <v>10632</v>
      </c>
    </row>
    <row r="26" spans="1:4">
      <c r="A26" s="538" t="s">
        <v>185</v>
      </c>
      <c r="B26" s="746" t="s">
        <v>775</v>
      </c>
      <c r="C26" s="746"/>
      <c r="D26" s="540">
        <v>100000</v>
      </c>
    </row>
    <row r="27" spans="1:4">
      <c r="A27" s="538" t="s">
        <v>186</v>
      </c>
      <c r="B27" s="746" t="s">
        <v>776</v>
      </c>
      <c r="C27" s="746"/>
      <c r="D27" s="540">
        <v>42528</v>
      </c>
    </row>
    <row r="28" spans="1:4">
      <c r="A28" s="538" t="s">
        <v>187</v>
      </c>
      <c r="B28" s="746" t="s">
        <v>188</v>
      </c>
      <c r="C28" s="746"/>
      <c r="D28" s="540">
        <v>100000</v>
      </c>
    </row>
    <row r="29" spans="1:4">
      <c r="A29" s="538" t="s">
        <v>187</v>
      </c>
      <c r="B29" s="746" t="s">
        <v>189</v>
      </c>
      <c r="C29" s="746"/>
      <c r="D29" s="540">
        <v>10632</v>
      </c>
    </row>
    <row r="30" spans="1:4">
      <c r="A30" s="538" t="s">
        <v>190</v>
      </c>
      <c r="B30" s="746" t="s">
        <v>191</v>
      </c>
      <c r="C30" s="746"/>
      <c r="D30" s="540">
        <v>100000</v>
      </c>
    </row>
    <row r="31" spans="1:4">
      <c r="A31" s="538" t="s">
        <v>192</v>
      </c>
      <c r="B31" s="746" t="s">
        <v>193</v>
      </c>
      <c r="C31" s="746"/>
      <c r="D31" s="540">
        <v>10632</v>
      </c>
    </row>
    <row r="32" spans="1:4">
      <c r="A32" s="538" t="s">
        <v>194</v>
      </c>
      <c r="B32" s="746" t="s">
        <v>195</v>
      </c>
      <c r="C32" s="746"/>
      <c r="D32" s="541">
        <v>100000</v>
      </c>
    </row>
    <row r="33" spans="1:4">
      <c r="A33" s="751" t="s">
        <v>35</v>
      </c>
      <c r="B33" s="752"/>
      <c r="C33" s="753"/>
      <c r="D33" s="55">
        <f>SUM(D7:D32)</f>
        <v>1727584</v>
      </c>
    </row>
    <row r="34" spans="1:4">
      <c r="A34" s="542"/>
      <c r="B34" s="542"/>
      <c r="C34" s="542"/>
    </row>
    <row r="35" spans="1:4">
      <c r="A35" s="46" t="s">
        <v>1094</v>
      </c>
    </row>
    <row r="36" spans="1:4">
      <c r="A36" s="535" t="s">
        <v>142</v>
      </c>
    </row>
    <row r="37" spans="1:4">
      <c r="A37" s="536" t="s">
        <v>38</v>
      </c>
      <c r="B37" s="748" t="s">
        <v>47</v>
      </c>
      <c r="C37" s="748"/>
      <c r="D37" s="537" t="s">
        <v>32</v>
      </c>
    </row>
    <row r="38" spans="1:4">
      <c r="A38" s="538" t="s">
        <v>151</v>
      </c>
      <c r="B38" s="749" t="s">
        <v>152</v>
      </c>
      <c r="C38" s="750"/>
      <c r="D38" s="543">
        <v>100000</v>
      </c>
    </row>
    <row r="39" spans="1:4">
      <c r="A39" s="538" t="s">
        <v>153</v>
      </c>
      <c r="B39" s="744" t="s">
        <v>773</v>
      </c>
      <c r="C39" s="745"/>
      <c r="D39" s="540">
        <v>100000</v>
      </c>
    </row>
    <row r="40" spans="1:4">
      <c r="A40" s="538" t="s">
        <v>154</v>
      </c>
      <c r="B40" s="746" t="s">
        <v>155</v>
      </c>
      <c r="C40" s="746"/>
      <c r="D40" s="540">
        <v>100000</v>
      </c>
    </row>
    <row r="41" spans="1:4">
      <c r="A41" s="538" t="s">
        <v>156</v>
      </c>
      <c r="B41" s="746" t="s">
        <v>157</v>
      </c>
      <c r="C41" s="746"/>
      <c r="D41" s="540">
        <v>10632</v>
      </c>
    </row>
    <row r="42" spans="1:4">
      <c r="A42" s="538" t="s">
        <v>156</v>
      </c>
      <c r="B42" s="746" t="s">
        <v>158</v>
      </c>
      <c r="C42" s="746"/>
      <c r="D42" s="540">
        <v>100000</v>
      </c>
    </row>
    <row r="43" spans="1:4">
      <c r="A43" s="538" t="s">
        <v>159</v>
      </c>
      <c r="B43" s="746" t="s">
        <v>160</v>
      </c>
      <c r="C43" s="746"/>
      <c r="D43" s="540">
        <v>50000</v>
      </c>
    </row>
    <row r="44" spans="1:4">
      <c r="A44" s="538" t="s">
        <v>161</v>
      </c>
      <c r="B44" s="746" t="s">
        <v>162</v>
      </c>
      <c r="C44" s="746"/>
      <c r="D44" s="540">
        <v>50000</v>
      </c>
    </row>
    <row r="45" spans="1:4">
      <c r="A45" s="538" t="s">
        <v>163</v>
      </c>
      <c r="B45" s="746" t="s">
        <v>164</v>
      </c>
      <c r="C45" s="746"/>
      <c r="D45" s="540">
        <v>10632</v>
      </c>
    </row>
    <row r="46" spans="1:4">
      <c r="A46" s="538" t="s">
        <v>165</v>
      </c>
      <c r="B46" s="746" t="s">
        <v>166</v>
      </c>
      <c r="C46" s="746"/>
      <c r="D46" s="540">
        <v>100000</v>
      </c>
    </row>
    <row r="47" spans="1:4">
      <c r="A47" s="538" t="s">
        <v>167</v>
      </c>
      <c r="B47" s="746" t="s">
        <v>168</v>
      </c>
      <c r="C47" s="746"/>
      <c r="D47" s="540">
        <v>10632</v>
      </c>
    </row>
    <row r="48" spans="1:4">
      <c r="A48" s="538" t="s">
        <v>169</v>
      </c>
      <c r="B48" s="746" t="s">
        <v>170</v>
      </c>
      <c r="C48" s="746"/>
      <c r="D48" s="540">
        <v>100000</v>
      </c>
    </row>
    <row r="49" spans="1:4">
      <c r="A49" s="538" t="s">
        <v>171</v>
      </c>
      <c r="B49" s="746" t="s">
        <v>172</v>
      </c>
      <c r="C49" s="746"/>
      <c r="D49" s="540">
        <v>100000</v>
      </c>
    </row>
    <row r="50" spans="1:4">
      <c r="A50" s="538" t="s">
        <v>171</v>
      </c>
      <c r="B50" s="746" t="s">
        <v>173</v>
      </c>
      <c r="C50" s="746"/>
      <c r="D50" s="540">
        <v>10632</v>
      </c>
    </row>
    <row r="51" spans="1:4">
      <c r="A51" s="538" t="s">
        <v>174</v>
      </c>
      <c r="B51" s="746" t="s">
        <v>175</v>
      </c>
      <c r="C51" s="746"/>
      <c r="D51" s="540">
        <v>100000</v>
      </c>
    </row>
    <row r="52" spans="1:4">
      <c r="A52" s="538" t="s">
        <v>176</v>
      </c>
      <c r="B52" s="746" t="s">
        <v>177</v>
      </c>
      <c r="C52" s="746"/>
      <c r="D52" s="540">
        <v>100000</v>
      </c>
    </row>
    <row r="53" spans="1:4">
      <c r="A53" s="538" t="s">
        <v>178</v>
      </c>
      <c r="B53" s="746" t="s">
        <v>179</v>
      </c>
      <c r="C53" s="746"/>
      <c r="D53" s="540">
        <v>10632</v>
      </c>
    </row>
    <row r="54" spans="1:4">
      <c r="A54" s="538" t="s">
        <v>180</v>
      </c>
      <c r="B54" s="746" t="s">
        <v>181</v>
      </c>
      <c r="C54" s="746"/>
      <c r="D54" s="540">
        <v>100000</v>
      </c>
    </row>
    <row r="55" spans="1:4">
      <c r="A55" s="538" t="s">
        <v>182</v>
      </c>
      <c r="B55" s="746" t="s">
        <v>183</v>
      </c>
      <c r="C55" s="746"/>
      <c r="D55" s="540">
        <v>100000</v>
      </c>
    </row>
    <row r="56" spans="1:4">
      <c r="A56" s="538" t="s">
        <v>184</v>
      </c>
      <c r="B56" s="746" t="s">
        <v>774</v>
      </c>
      <c r="C56" s="746"/>
      <c r="D56" s="540">
        <v>10632</v>
      </c>
    </row>
    <row r="57" spans="1:4">
      <c r="A57" s="538" t="s">
        <v>185</v>
      </c>
      <c r="B57" s="746" t="s">
        <v>775</v>
      </c>
      <c r="C57" s="746"/>
      <c r="D57" s="540">
        <v>100000</v>
      </c>
    </row>
    <row r="58" spans="1:4">
      <c r="A58" s="538" t="s">
        <v>186</v>
      </c>
      <c r="B58" s="746" t="s">
        <v>776</v>
      </c>
      <c r="C58" s="746"/>
      <c r="D58" s="540">
        <v>42528</v>
      </c>
    </row>
    <row r="59" spans="1:4">
      <c r="A59" s="538" t="s">
        <v>187</v>
      </c>
      <c r="B59" s="746" t="s">
        <v>188</v>
      </c>
      <c r="C59" s="746"/>
      <c r="D59" s="540">
        <v>100000</v>
      </c>
    </row>
    <row r="60" spans="1:4">
      <c r="A60" s="538" t="s">
        <v>187</v>
      </c>
      <c r="B60" s="746" t="s">
        <v>189</v>
      </c>
      <c r="C60" s="746"/>
      <c r="D60" s="540">
        <v>10632</v>
      </c>
    </row>
    <row r="61" spans="1:4">
      <c r="A61" s="538" t="s">
        <v>190</v>
      </c>
      <c r="B61" s="746" t="s">
        <v>191</v>
      </c>
      <c r="C61" s="746"/>
      <c r="D61" s="540">
        <v>100000</v>
      </c>
    </row>
    <row r="62" spans="1:4">
      <c r="A62" s="538" t="s">
        <v>192</v>
      </c>
      <c r="B62" s="746" t="s">
        <v>193</v>
      </c>
      <c r="C62" s="746"/>
      <c r="D62" s="540">
        <v>10632</v>
      </c>
    </row>
    <row r="63" spans="1:4">
      <c r="A63" s="538" t="s">
        <v>194</v>
      </c>
      <c r="B63" s="746" t="s">
        <v>195</v>
      </c>
      <c r="C63" s="746"/>
      <c r="D63" s="544">
        <v>100000</v>
      </c>
    </row>
    <row r="64" spans="1:4">
      <c r="A64" s="751" t="s">
        <v>35</v>
      </c>
      <c r="B64" s="752"/>
      <c r="C64" s="753"/>
      <c r="D64" s="55">
        <f>SUM(D38:D63)</f>
        <v>1727584</v>
      </c>
    </row>
  </sheetData>
  <mergeCells count="59">
    <mergeCell ref="B61:C61"/>
    <mergeCell ref="B62:C62"/>
    <mergeCell ref="B63:C63"/>
    <mergeCell ref="A64:C64"/>
    <mergeCell ref="B56:C56"/>
    <mergeCell ref="B57:C57"/>
    <mergeCell ref="B58:C58"/>
    <mergeCell ref="B59:C59"/>
    <mergeCell ref="B60:C60"/>
    <mergeCell ref="B51:C51"/>
    <mergeCell ref="B52:C52"/>
    <mergeCell ref="B53:C53"/>
    <mergeCell ref="B54:C54"/>
    <mergeCell ref="B55:C55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A33:C33"/>
    <mergeCell ref="B37:C37"/>
    <mergeCell ref="B38:C38"/>
    <mergeCell ref="B39:C39"/>
    <mergeCell ref="B40:C40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A1:D1"/>
    <mergeCell ref="A2:D2"/>
    <mergeCell ref="A3:D3"/>
    <mergeCell ref="B6:C6"/>
    <mergeCell ref="B7:C7"/>
    <mergeCell ref="B8:C8"/>
    <mergeCell ref="B9:C9"/>
    <mergeCell ref="B10:C10"/>
    <mergeCell ref="B11:C11"/>
    <mergeCell ref="B12:C12"/>
  </mergeCells>
  <pageMargins left="0.86" right="0.19685039370078741" top="0.19685039370078741" bottom="0.19685039370078741" header="0.31496062992125984" footer="0.19685039370078741"/>
  <pageSetup paperSize="9" scale="98" orientation="portrait" verticalDpi="0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36</vt:i4>
      </vt:variant>
      <vt:variant>
        <vt:lpstr>ช่วงที่มีชื่อ</vt:lpstr>
      </vt:variant>
      <vt:variant>
        <vt:i4>2</vt:i4>
      </vt:variant>
    </vt:vector>
  </HeadingPairs>
  <TitlesOfParts>
    <vt:vector size="38" baseType="lpstr">
      <vt:lpstr>งบทดลอง </vt:lpstr>
      <vt:lpstr>รายรับจริงประกอบงบทดลอง</vt:lpstr>
      <vt:lpstr>งบแสดงฐานะ</vt:lpstr>
      <vt:lpstr>ข้อมูลทั่วไป</vt:lpstr>
      <vt:lpstr>เหตุ2</vt:lpstr>
      <vt:lpstr>Sheet1</vt:lpstr>
      <vt:lpstr>เหตุ3,4,5</vt:lpstr>
      <vt:lpstr>เหตุ6</vt:lpstr>
      <vt:lpstr>เหตุ7</vt:lpstr>
      <vt:lpstr>เหตุ8</vt:lpstr>
      <vt:lpstr>เหตุ9</vt:lpstr>
      <vt:lpstr>เหตุ10</vt:lpstr>
      <vt:lpstr>เหตุ11</vt:lpstr>
      <vt:lpstr>เหตุ 12</vt:lpstr>
      <vt:lpstr>บริหารงานทั่วไป</vt:lpstr>
      <vt:lpstr>รักษาความสงบฯ</vt:lpstr>
      <vt:lpstr>การศึกษา</vt:lpstr>
      <vt:lpstr>สาธารณสุข</vt:lpstr>
      <vt:lpstr>สังคมสงเคราะห์</vt:lpstr>
      <vt:lpstr>เคหะและชุมชน</vt:lpstr>
      <vt:lpstr>สร้างความเข้มแข็งของชุมชน</vt:lpstr>
      <vt:lpstr>การศาสนาฯ</vt:lpstr>
      <vt:lpstr>การเกษตร</vt:lpstr>
      <vt:lpstr>งบกลาง</vt:lpstr>
      <vt:lpstr>จ่ายจากแผนงานรวม</vt:lpstr>
      <vt:lpstr>รายจ่ายจากสะสม</vt:lpstr>
      <vt:lpstr>รายจ่ายจากทุนสำรอง</vt:lpstr>
      <vt:lpstr>รายจ่ายจากเงินกู้</vt:lpstr>
      <vt:lpstr>งบแสดงผลจ่ายจากรายรับ</vt:lpstr>
      <vt:lpstr>จ่ายจากเงินรายรับและเงินสะสม</vt:lpstr>
      <vt:lpstr>แสดงรับจ่ายจากสะสมทุนสะสม</vt:lpstr>
      <vt:lpstr>แสดงรับจ่ายจากสะสมและกู้</vt:lpstr>
      <vt:lpstr>1.ครุภัณฑ์</vt:lpstr>
      <vt:lpstr>2.ที่ดินและสิ่งก่อสร้าง</vt:lpstr>
      <vt:lpstr>Sheet3 (โอน)</vt:lpstr>
      <vt:lpstr>Sheet2</vt:lpstr>
      <vt:lpstr>'งบทดลอง '!Print_Titles</vt:lpstr>
      <vt:lpstr>รายรับจริงประกอบงบทดลอง!Print_Titles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</dc:creator>
  <cp:lastModifiedBy>Corporate Edition</cp:lastModifiedBy>
  <cp:lastPrinted>2019-10-28T05:46:48Z</cp:lastPrinted>
  <dcterms:created xsi:type="dcterms:W3CDTF">2018-08-14T03:44:01Z</dcterms:created>
  <dcterms:modified xsi:type="dcterms:W3CDTF">2019-10-28T05:59:46Z</dcterms:modified>
</cp:coreProperties>
</file>